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filterPrivacy="1" codeName="ThisWorkbook"/>
  <xr:revisionPtr revIDLastSave="0" documentId="8_{DD551E63-37F8-4C6F-9BE0-16F15850044C}" xr6:coauthVersionLast="36" xr6:coauthVersionMax="36" xr10:uidLastSave="{00000000-0000-0000-0000-000000000000}"/>
  <bookViews>
    <workbookView xWindow="28680" yWindow="-120" windowWidth="9720" windowHeight="17625" activeTab="7" xr2:uid="{00000000-000D-0000-FFFF-FFFF00000000}"/>
  </bookViews>
  <sheets>
    <sheet name="S" sheetId="47" r:id="rId1"/>
    <sheet name="Listas" sheetId="51" r:id="rId2"/>
    <sheet name="Control" sheetId="58" r:id="rId3"/>
    <sheet name="Mercado" sheetId="52" r:id="rId4"/>
    <sheet name="Cálculos auxiliares" sheetId="59" r:id="rId5"/>
    <sheet name="Cálculos principales" sheetId="60" r:id="rId6"/>
    <sheet name="Calculos STAR" sheetId="63" r:id="rId7"/>
    <sheet name="Resultados" sheetId="93" r:id="rId8"/>
    <sheet name="Datos APSM--&gt;" sheetId="53" r:id="rId9"/>
    <sheet name="Base" sheetId="92" r:id="rId10"/>
  </sheets>
  <externalReferences>
    <externalReference r:id="rId11"/>
  </externalReferences>
  <definedNames>
    <definedName name="_Fill" hidden="1">#REF!</definedName>
    <definedName name="_xlnm._FilterDatabase" localSheetId="4" hidden="1">'Cálculos auxiliares'!$A$126:$AY$126</definedName>
    <definedName name="_xlnm._FilterDatabase" localSheetId="6" hidden="1">'Calculos STAR'!$Q$43:$Q$46</definedName>
    <definedName name="_xlnm._FilterDatabase" localSheetId="7" hidden="1">Resultados!$D$22:$N$61</definedName>
    <definedName name="_GSRATES_1" hidden="1">"H2005092920050930USDMXN1000001"</definedName>
    <definedName name="_GSRATES_10" hidden="1">"CF3000012003033120030101"</definedName>
    <definedName name="_GSRATES_2" hidden="1">"H2005092920050930USDMXN1000001"</definedName>
    <definedName name="_GSRATES_3" hidden="1">"CF300006Invalid 20010630"</definedName>
    <definedName name="_GSRATES_4" hidden="1">"CF3000012002063020010630"</definedName>
    <definedName name="_GSRATES_5" hidden="1">"CF30000920020930        "</definedName>
    <definedName name="_GSRATES_6" hidden="1">"CF30000920010930        "</definedName>
    <definedName name="_GSRATES_7" hidden="1">"CF50000120020930        "</definedName>
    <definedName name="_GSRATES_8" hidden="1">"CT30000120020930        "</definedName>
    <definedName name="_GSRATES_9" hidden="1">"CF5000012003033120020101"</definedName>
    <definedName name="_GSRATES_COUNT" hidden="1">2</definedName>
    <definedName name="_Key1" hidden="1">#REF!</definedName>
    <definedName name="_Key2" hidden="1">#REF!</definedName>
    <definedName name="_Order1" hidden="1">255</definedName>
    <definedName name="_Order2" hidden="1">255</definedName>
    <definedName name="_p51" localSheetId="7" hidden="1">{"MG-2002-F1",#N/A,FALSE,"PPU-Telemig";"MG-2002-F2",#N/A,FALSE,"PPU-Telemig";"MG-2002-F3",#N/A,FALSE,"PPU-Telemig";"MG-2002-F4",#N/A,FALSE,"PPU-Telemig";"MG-2003-F1",#N/A,FALSE,"PPU-Telemig";"MG-2004-F1",#N/A,FALSE,"PPU-Telemig"}</definedName>
    <definedName name="_p51" hidden="1">{"MG-2002-F1",#N/A,FALSE,"PPU-Telemig";"MG-2002-F2",#N/A,FALSE,"PPU-Telemig";"MG-2002-F3",#N/A,FALSE,"PPU-Telemig";"MG-2002-F4",#N/A,FALSE,"PPU-Telemig";"MG-2003-F1",#N/A,FALSE,"PPU-Telemig";"MG-2004-F1",#N/A,FALSE,"PPU-Telemig"}</definedName>
    <definedName name="_Regression_Int" hidden="1">1</definedName>
    <definedName name="_Sort" hidden="1">'[1]SOPOCTprod-pagos99'!#REF!</definedName>
    <definedName name="_xlcn.WorksheetConnection_ModelodeCostosevitadosMegacablev1.1.xlsxCanasta2023" hidden="1">Canasta2023</definedName>
    <definedName name="_xlcn.WorksheetConnection_ModelodeCostosevitadosMegacablev1.1.xlsxCanasta2024" hidden="1">Canasta2024</definedName>
    <definedName name="_xlcn.WorksheetConnection_ModelodeCostosevitadosMegacablev1.1.xlsxSuscriptoresa" hidden="1">Suscriptoresa</definedName>
    <definedName name="_xlcn.WorksheetConnection_ModelodeCostosevitadosMegacablev1.1.xlsxSuscriptoresb" hidden="1">Suscriptoresb</definedName>
    <definedName name="_xlcn.WorksheetConnection_ModelodeCostosevitadosMegacablev1.1.xlsxSuscriptoresc" hidden="1">Suscriptoresc</definedName>
    <definedName name="_xlcn.WorksheetConnection_ModelodeCostosevitadosMegacablev1.1.xlsxTarifas2023" hidden="1">Tarifas2023</definedName>
    <definedName name="_xlcn.WorksheetConnection_ModelodeCostosevitadosMegacablev1.1.xlsxTarifas2024" hidden="1">Tarifas2024</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ccessDatabase" hidden="1">"C:\Mis documentos\Plan99_Ad\CALCULOB2.mdb"</definedName>
    <definedName name="Admin.costs">Control!$I$39</definedName>
    <definedName name="Admin.staff.per.customer.care.staff">Control!$I$37</definedName>
    <definedName name="anscount" hidden="1">1</definedName>
    <definedName name="APSM.STAR.distribution.by.plan">Mercado!$C$21:$N$133</definedName>
    <definedName name="APSM.STAR.lines">Mercado!$I$10:$L$10</definedName>
    <definedName name="APSM.STAR.subs.by.plan">Mercado!$C$149:$N$274</definedName>
    <definedName name="APSM.STAR.user.only.residential">Mercado!$I$280:$L$280</definedName>
    <definedName name="APSM.STAR.users.only.noresidential">Mercado!$I$286:$L$286</definedName>
    <definedName name="ARE" localSheetId="7" hidden="1">{"MG-2002-F1",#N/A,FALSE,"PPU-Telemig";"MG-2002-F2",#N/A,FALSE,"PPU-Telemig";"MG-2002-F3",#N/A,FALSE,"PPU-Telemig";"MG-2002-F4",#N/A,FALSE,"PPU-Telemig";"MG-2003-F1",#N/A,FALSE,"PPU-Telemig";"MG-2004-F1",#N/A,FALSE,"PPU-Telemig"}</definedName>
    <definedName name="ARE" hidden="1">{"MG-2002-F1",#N/A,FALSE,"PPU-Telemig";"MG-2002-F2",#N/A,FALSE,"PPU-Telemig";"MG-2002-F3",#N/A,FALSE,"PPU-Telemig";"MG-2002-F4",#N/A,FALSE,"PPU-Telemig";"MG-2003-F1",#N/A,FALSE,"PPU-Telemig";"MG-2004-F1",#N/A,FALSE,"PPU-Telemig"}</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ADADADASD" localSheetId="7" hidden="1">{#N/A,#N/A,FALSE,"DCD-Cs";#N/A,#N/A,FALSE,"LPR";#N/A,#N/A,FALSE,"LPR-LOU";#N/A,#N/A,FALSE,"GPS1100";#N/A,#N/A,FALSE,"Secure7"}</definedName>
    <definedName name="ASADADADASD" hidden="1">{#N/A,#N/A,FALSE,"DCD-Cs";#N/A,#N/A,FALSE,"LPR";#N/A,#N/A,FALSE,"LPR-LOU";#N/A,#N/A,FALSE,"GPS1100";#N/A,#N/A,FALSE,"Secure7"}</definedName>
    <definedName name="ASFDA" localSheetId="7" hidden="1">{"MG-2002-F1",#N/A,FALSE,"PPU-Telemig";"MG-2002-F2",#N/A,FALSE,"PPU-Telemig";"MG-2002-F3",#N/A,FALSE,"PPU-Telemig";"MG-2002-F4",#N/A,FALSE,"PPU-Telemig";"MG-2003-F1",#N/A,FALSE,"PPU-Telemig";"MG-2004-F1",#N/A,FALSE,"PPU-Telemig"}</definedName>
    <definedName name="ASFDA" hidden="1">{"MG-2002-F1",#N/A,FALSE,"PPU-Telemig";"MG-2002-F2",#N/A,FALSE,"PPU-Telemig";"MG-2002-F3",#N/A,FALSE,"PPU-Telemig";"MG-2002-F4",#N/A,FALSE,"PPU-Telemig";"MG-2003-F1",#N/A,FALSE,"PPU-Telemig";"MG-2004-F1",#N/A,FALSE,"PPU-Telemig"}</definedName>
    <definedName name="Avantel" localSheetId="7" hidden="1">{"'Edit'!$A$1:$V$2277"}</definedName>
    <definedName name="Avantel" hidden="1">{"'Edit'!$A$1:$V$2277"}</definedName>
    <definedName name="Bad.debt.cost">Control!$I$17</definedName>
    <definedName name="BG_Del" hidden="1">15</definedName>
    <definedName name="BG_Ins" hidden="1">4</definedName>
    <definedName name="BG_Mod" hidden="1">6</definedName>
    <definedName name="Billing.cost">Control!$I$14</definedName>
    <definedName name="Customer.care.line.STAR.per.staff">Control!$I$28</definedName>
    <definedName name="CV" localSheetId="7" hidden="1">{"'Edit'!$A$1:$V$2277"}</definedName>
    <definedName name="CV" hidden="1">{"'Edit'!$A$1:$V$2277"}</definedName>
    <definedName name="Cwvu.Full_Year." hidden="1">#N/A</definedName>
    <definedName name="days.per.month">30.42</definedName>
    <definedName name="days.per.year">365</definedName>
    <definedName name="DME_Dirty" hidden="1">"False"</definedName>
    <definedName name="EE" localSheetId="7" hidden="1">{"MG-2002-F1",#N/A,FALSE,"PPU-Telemig";"MG-2002-F2",#N/A,FALSE,"PPU-Telemig";"MG-2002-F3",#N/A,FALSE,"PPU-Telemig";"MG-2002-F4",#N/A,FALSE,"PPU-Telemig";"MG-2003-F1",#N/A,FALSE,"PPU-Telemig";"MG-2004-F1",#N/A,FALSE,"PPU-Telemig"}</definedName>
    <definedName name="EE" hidden="1">{"MG-2002-F1",#N/A,FALSE,"PPU-Telemig";"MG-2002-F2",#N/A,FALSE,"PPU-Telemig";"MG-2002-F3",#N/A,FALSE,"PPU-Telemig";"MG-2002-F4",#N/A,FALSE,"PPU-Telemig";"MG-2003-F1",#N/A,FALSE,"PPU-Telemig";"MG-2004-F1",#N/A,FALSE,"PPU-Telemig"}</definedName>
    <definedName name="eee" localSheetId="7" hidden="1">{"MG-2002-F1",#N/A,FALSE,"PPU-Telemig";"MG-2002-F2",#N/A,FALSE,"PPU-Telemig";"MG-2002-F3",#N/A,FALSE,"PPU-Telemig";"MG-2002-F4",#N/A,FALSE,"PPU-Telemig";"MG-2003-F1",#N/A,FALSE,"PPU-Telemig";"MG-2004-F1",#N/A,FALSE,"PPU-Telemig"}</definedName>
    <definedName name="eee" hidden="1">{"MG-2002-F1",#N/A,FALSE,"PPU-Telemig";"MG-2002-F2",#N/A,FALSE,"PPU-Telemig";"MG-2002-F3",#N/A,FALSE,"PPU-Telemig";"MG-2002-F4",#N/A,FALSE,"PPU-Telemig";"MG-2003-F1",#N/A,FALSE,"PPU-Telemig";"MG-2004-F1",#N/A,FALSE,"PPU-Telemig"}</definedName>
    <definedName name="EFTRT" localSheetId="7" hidden="1">{"'72'!$A$1:$N$43"}</definedName>
    <definedName name="EFTRT" hidden="1">{"'72'!$A$1:$N$43"}</definedName>
    <definedName name="equipo.terminal.parameter">Control!$I$50</definedName>
    <definedName name="error" hidden="1">#N/A</definedName>
    <definedName name="error1" hidden="1">#N/A</definedName>
    <definedName name="FF" localSheetId="7" hidden="1">{"'Edit'!$A$1:$V$2277"}</definedName>
    <definedName name="FF" hidden="1">{"'Edit'!$A$1:$V$2277"}</definedName>
    <definedName name="FG" localSheetId="7" hidden="1">{"'Edit'!$A$1:$V$2277"}</definedName>
    <definedName name="FG" hidden="1">{"'Edit'!$A$1:$V$2277"}</definedName>
    <definedName name="Floorspace.per.staff">Control!$I$33</definedName>
    <definedName name="FSA" localSheetId="7" hidden="1">{"MG-2002-F1",#N/A,FALSE,"PPU-Telemig";"MG-2002-F2",#N/A,FALSE,"PPU-Telemig";"MG-2002-F3",#N/A,FALSE,"PPU-Telemig";"MG-2002-F4",#N/A,FALSE,"PPU-Telemig";"MG-2003-F1",#N/A,FALSE,"PPU-Telemig";"MG-2004-F1",#N/A,FALSE,"PPU-Telemig"}</definedName>
    <definedName name="FSA" hidden="1">{"MG-2002-F1",#N/A,FALSE,"PPU-Telemig";"MG-2002-F2",#N/A,FALSE,"PPU-Telemig";"MG-2002-F3",#N/A,FALSE,"PPU-Telemig";"MG-2002-F4",#N/A,FALSE,"PPU-Telemig";"MG-2003-F1",#N/A,FALSE,"PPU-Telemig";"MG-2004-F1",#N/A,FALSE,"PPU-Telemig"}</definedName>
    <definedName name="FTGYH" localSheetId="7"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FTGYH"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gary" localSheetId="7" hidden="1">{"'Edit'!$A$1:$V$2277"}</definedName>
    <definedName name="gary" hidden="1">{"'Edit'!$A$1:$V$2277"}</definedName>
    <definedName name="geral" localSheetId="7" hidden="1">{"MG-2002-F1",#N/A,FALSE,"PPU-Telemig";"MG-2002-F2",#N/A,FALSE,"PPU-Telemig";"MG-2002-F3",#N/A,FALSE,"PPU-Telemig";"MG-2002-F4",#N/A,FALSE,"PPU-Telemig";"MG-2003-F1",#N/A,FALSE,"PPU-Telemig";"MG-2004-F1",#N/A,FALSE,"PPU-Telemig"}</definedName>
    <definedName name="geral" hidden="1">{"MG-2002-F1",#N/A,FALSE,"PPU-Telemig";"MG-2002-F2",#N/A,FALSE,"PPU-Telemig";"MG-2002-F3",#N/A,FALSE,"PPU-Telemig";"MG-2002-F4",#N/A,FALSE,"PPU-Telemig";"MG-2003-F1",#N/A,FALSE,"PPU-Telemig";"MG-2004-F1",#N/A,FALSE,"PPU-Telemig"}</definedName>
    <definedName name="GF" localSheetId="7" hidden="1">{"'Edit'!$A$1:$V$2277"}</definedName>
    <definedName name="GF" hidden="1">{"'Edit'!$A$1:$V$2277"}</definedName>
    <definedName name="HB" localSheetId="7" hidden="1">{"'Edit'!$A$1:$V$2277"}</definedName>
    <definedName name="HB" hidden="1">{"'Edit'!$A$1:$V$2277"}</definedName>
    <definedName name="HJ" localSheetId="7" hidden="1">{"'Edit'!$A$1:$V$2277"}</definedName>
    <definedName name="HJ" hidden="1">{"'Edit'!$A$1:$V$2277"}</definedName>
    <definedName name="hours.per.day">24</definedName>
    <definedName name="HTML" localSheetId="7" hidden="1">{"'System_Table'!$A$1:$AM$58"}</definedName>
    <definedName name="HTML" hidden="1">{"'System_Table'!$A$1:$AM$58"}</definedName>
    <definedName name="HTML_CodePage" hidden="1">1252</definedName>
    <definedName name="HTML_Cont" localSheetId="7" hidden="1">{"'Edit'!$A$1:$V$2277"}</definedName>
    <definedName name="HTML_Cont" hidden="1">{"'Edit'!$A$1:$V$2277"}</definedName>
    <definedName name="HTML_Control" localSheetId="7" hidden="1">{"'System_Table'!$A$1:$AM$58"}</definedName>
    <definedName name="HTML_Control" hidden="1">{"'System_Table'!$A$1:$AM$58"}</definedName>
    <definedName name="HTML_Control_" localSheetId="7" hidden="1">{"'Edit'!$A$1:$V$2277"}</definedName>
    <definedName name="HTML_Control_" hidden="1">{"'Edit'!$A$1:$V$2277"}</definedName>
    <definedName name="HTML_Description" hidden="1">"Westpac UNIX Systems"</definedName>
    <definedName name="HTML_Email" hidden="1">""</definedName>
    <definedName name="HTML_Header" hidden="1">"System_Table"</definedName>
    <definedName name="HTML_LastUpdate" hidden="1">"1/28/98"</definedName>
    <definedName name="HTML_LineAfter" hidden="1">FALSE</definedName>
    <definedName name="HTML_LineBefore" hidden="1">FALSE</definedName>
    <definedName name="HTML_Name" hidden="1">"Roger Ottery"</definedName>
    <definedName name="HTML_OBDlg2" hidden="1">TRUE</definedName>
    <definedName name="HTML_OBDlg4" hidden="1">TRUE</definedName>
    <definedName name="HTML_OS" hidden="1">0</definedName>
    <definedName name="HTML_PathFile" hidden="1">"C:\data\HTML\Systems.htm"</definedName>
    <definedName name="HTML_Title" hidden="1">"SYSEXCEL"</definedName>
    <definedName name="HTMLCont" localSheetId="7" hidden="1">{"'Edit'!$A$1:$V$2277"}</definedName>
    <definedName name="HTMLCont" hidden="1">{"'Edit'!$A$1:$V$2277"}</definedName>
    <definedName name="HTMLControl" localSheetId="7" hidden="1">{"'Edit'!$A$1:$V$2277"}</definedName>
    <definedName name="HTMLControl" hidden="1">{"'Edit'!$A$1:$V$2277"}</definedName>
    <definedName name="HTMLControl_" localSheetId="7" hidden="1">{"'Edit'!$A$1:$V$2277"}</definedName>
    <definedName name="HTMLControl_" hidden="1">{"'Edit'!$A$1:$V$2277"}</definedName>
    <definedName name="hxw" localSheetId="7" hidden="1">{"'Edit'!$A$1:$V$2277"}</definedName>
    <definedName name="hxw" hidden="1">{"'Edit'!$A$1:$V$2277"}</definedName>
    <definedName name="instalación">'Cálculos principales'!$I$35:$DQ$35</definedName>
    <definedName name="installation.charge">Control!$I$52</definedName>
    <definedName name="Internal" hidden="1">#N/A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39221.3754976852</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Jan" localSheetId="7" hidden="1">{"'Edit'!$A$1:$V$2277"}</definedName>
    <definedName name="Jan" hidden="1">{"'Edit'!$A$1:$V$2277"}</definedName>
    <definedName name="JKKL" localSheetId="7" hidden="1">{"'Edit'!$A$1:$V$2277"}</definedName>
    <definedName name="JKKL" hidden="1">{"'Edit'!$A$1:$V$2277"}</definedName>
    <definedName name="KL" localSheetId="7" hidden="1">{"'Edit'!$A$1:$V$2277"}</definedName>
    <definedName name="KL" hidden="1">{"'Edit'!$A$1:$V$2277"}</definedName>
    <definedName name="KLÑKLÑK" localSheetId="7" hidden="1">{#N/A,#N/A,FALSE,"523,Dual2E,SmartSSM";#N/A,#N/A,FALSE,"523,2E,3E,SmartSSM";#N/A,#N/A,FALSE,"523,Dual3E,SmartSSM"}</definedName>
    <definedName name="KLÑKLÑK" hidden="1">{#N/A,#N/A,FALSE,"523,Dual2E,SmartSSM";#N/A,#N/A,FALSE,"523,2E,3E,SmartSSM";#N/A,#N/A,FALSE,"523,Dual3E,SmartSSM"}</definedName>
    <definedName name="KO" localSheetId="7" hidden="1">{"'Edit'!$A$1:$V$2277"}</definedName>
    <definedName name="KO" hidden="1">{"'Edit'!$A$1:$V$2277"}</definedName>
    <definedName name="kyd.Dim.01." hidden="1">"currency"</definedName>
    <definedName name="kyd.Dim.02." hidden="1">"currency"</definedName>
    <definedName name="kyd.ElementType.01." hidden="1">3</definedName>
    <definedName name="kyd.ElementType.02." hidden="1">3</definedName>
    <definedName name="kyd.MemoSortHide." hidden="1">FALSE</definedName>
    <definedName name="kyd.NumLevels.01." hidden="1">999</definedName>
    <definedName name="kyd.NumLevels.02." hidden="1">999</definedName>
    <definedName name="kyd.ParentName.01." hidden="1">"AUD"</definedName>
    <definedName name="kyd.ParentName.02." hidden="1">"AUD"</definedName>
    <definedName name="kyd.PreScreenData." hidden="1">FALSE</definedName>
    <definedName name="kyd.PrintMemo." hidden="1">FALSE</definedName>
    <definedName name="kyd.PrintParent.01." hidden="1">TRUE</definedName>
    <definedName name="kyd.PrintParent.02." hidden="1">TRUE</definedName>
    <definedName name="kyd.PrintStdWhen." hidden="1">3</definedName>
    <definedName name="kyd.SaveAsFile." hidden="1">FALSE</definedName>
    <definedName name="kyd.SaveMemo." hidden="1">FALSE</definedName>
    <definedName name="kyd.SelectString.01." hidden="1">"*"</definedName>
    <definedName name="kyd.SelectString.02." hidden="1">"*"</definedName>
    <definedName name="kyd.StdSortHide." hidden="1">FALSE</definedName>
    <definedName name="kyd.StopRow." hidden="1">16384</definedName>
    <definedName name="kyd.WriteMemWhenOptn." hidden="1">3</definedName>
    <definedName name="Line.rental.churn">Control!$I$11</definedName>
    <definedName name="lx" localSheetId="7" hidden="1">{"'Edit'!$A$1:$V$2277"}</definedName>
    <definedName name="lx" hidden="1">{"'Edit'!$A$1:$V$2277"}</definedName>
    <definedName name="lz" localSheetId="7" hidden="1">{"'Edit'!$A$1:$V$2277"}</definedName>
    <definedName name="lz" hidden="1">{"'Edit'!$A$1:$V$2277"}</definedName>
    <definedName name="Marketing.and.sales.minimum.proportion.STAR">Control!$I$24</definedName>
    <definedName name="Marketing.and.sales.per.gross.add.STAR">Control!$I$21</definedName>
    <definedName name="MARTIN" localSheetId="7" hidden="1">{"'Edit'!$A$1:$V$2277"}</definedName>
    <definedName name="MARTIN" hidden="1">{"'Edit'!$A$1:$V$2277"}</definedName>
    <definedName name="MAT" localSheetId="7" hidden="1">{"'Edit'!$A$1:$V$2277"}</definedName>
    <definedName name="MAT" hidden="1">{"'Edit'!$A$1:$V$2277"}</definedName>
    <definedName name="million">1000000</definedName>
    <definedName name="minutes.per.hour">60</definedName>
    <definedName name="mmm" localSheetId="7" hidden="1">{"MG-2002-F1",#N/A,FALSE,"PPU-Telemig";"MG-2002-F2",#N/A,FALSE,"PPU-Telemig";"MG-2002-F3",#N/A,FALSE,"PPU-Telemig";"MG-2002-F4",#N/A,FALSE,"PPU-Telemig";"MG-2003-F1",#N/A,FALSE,"PPU-Telemig";"MG-2004-F1",#N/A,FALSE,"PPU-Telemig"}</definedName>
    <definedName name="mmm" hidden="1">{"MG-2002-F1",#N/A,FALSE,"PPU-Telemig";"MG-2002-F2",#N/A,FALSE,"PPU-Telemig";"MG-2002-F3",#N/A,FALSE,"PPU-Telemig";"MG-2002-F4",#N/A,FALSE,"PPU-Telemig";"MG-2003-F1",#N/A,FALSE,"PPU-Telemig";"MG-2004-F1",#N/A,FALSE,"PPU-Telemig"}</definedName>
    <definedName name="modalidad">'Cálculos principales'!$I$6:$DN$6</definedName>
    <definedName name="Monthly.cost.per.staff">Control!$I$30</definedName>
    <definedName name="months.per.year">12</definedName>
    <definedName name="N" localSheetId="7" hidden="1">{"'Edit'!$A$1:$V$2277"}</definedName>
    <definedName name="N" hidden="1">{"'Edit'!$A$1:$V$2277"}</definedName>
    <definedName name="NORTEL" localSheetId="7" hidden="1">{"'Edit'!$A$1:$V$2277"}</definedName>
    <definedName name="NORTEL" hidden="1">{"'Edit'!$A$1:$V$2277"}</definedName>
    <definedName name="ÑJÑL" localSheetId="7" hidden="1">Main.SAPF4Help()</definedName>
    <definedName name="ÑJÑL" hidden="1">Main.SAPF4Help()</definedName>
    <definedName name="ÑL" localSheetId="7" hidden="1">{"'Edit'!$A$1:$V$2277"}</definedName>
    <definedName name="ÑL" hidden="1">{"'Edit'!$A$1:$V$2277"}</definedName>
    <definedName name="PUEBLA" localSheetId="7" hidden="1">{"'72'!$A$1:$N$43"}</definedName>
    <definedName name="PUEBLA" hidden="1">{"'72'!$A$1:$N$43"}</definedName>
    <definedName name="QW" localSheetId="7" hidden="1">{"'Edit'!$A$1:$V$2277"}</definedName>
    <definedName name="QW" hidden="1">{"'Edit'!$A$1:$V$2277"}</definedName>
    <definedName name="QWWSSW" localSheetId="7" hidden="1">{#N/A,#N/A,FALSE,"GNI Hub";#N/A,#N/A,FALSE,"GNI Pop";#N/A,#N/A,FALSE,"Cesium";#N/A,#N/A,FALSE,"LPR";#N/A,#N/A,FALSE,"LPR-LOU";#N/A,#N/A,FALSE,"GPS1100";#N/A,#N/A,FALSE,"523, Dual 2E";#N/A,#N/A,FALSE,"523,2E,3E";#N/A,#N/A,FALSE,"523, Dual 3E";#N/A,#N/A,FALSE,"520";#N/A,#N/A,FALSE,"520,3E";#N/A,#N/A,FALSE,"523,Dual 2E,Smart";#N/A,#N/A,FALSE,"523,ST2,ST3,Smart";#N/A,#N/A,FALSE," 523,Dual3E,Smart";#N/A,#N/A,FALSE,"523,Dual2E,SmartSSM";#N/A,#N/A,FALSE,"523,2E,3E,SmartSSM";#N/A,#N/A,FALSE,"523,Dual3E,SmartSSM";#N/A,#N/A,FALSE,"GNI Price Summary"}</definedName>
    <definedName name="QWWSSW" hidden="1">{#N/A,#N/A,FALSE,"GNI Hub";#N/A,#N/A,FALSE,"GNI Pop";#N/A,#N/A,FALSE,"Cesium";#N/A,#N/A,FALSE,"LPR";#N/A,#N/A,FALSE,"LPR-LOU";#N/A,#N/A,FALSE,"GPS1100";#N/A,#N/A,FALSE,"523, Dual 2E";#N/A,#N/A,FALSE,"523,2E,3E";#N/A,#N/A,FALSE,"523, Dual 3E";#N/A,#N/A,FALSE,"520";#N/A,#N/A,FALSE,"520,3E";#N/A,#N/A,FALSE,"523,Dual 2E,Smart";#N/A,#N/A,FALSE,"523,ST2,ST3,Smart";#N/A,#N/A,FALSE," 523,Dual3E,Smart";#N/A,#N/A,FALSE,"523,Dual2E,SmartSSM";#N/A,#N/A,FALSE,"523,2E,3E,SmartSSM";#N/A,#N/A,FALSE,"523,Dual3E,SmartSSM";#N/A,#N/A,FALSE,"GNI Price Summary"}</definedName>
    <definedName name="Rent.per.sqm">Control!$I$35</definedName>
    <definedName name="res" localSheetId="7" hidden="1">{"MG-2002-F1",#N/A,FALSE,"PPU-Telemig";"MG-2002-F2",#N/A,FALSE,"PPU-Telemig";"MG-2002-F3",#N/A,FALSE,"PPU-Telemig";"MG-2002-F4",#N/A,FALSE,"PPU-Telemig";"MG-2003-F1",#N/A,FALSE,"PPU-Telemig";"MG-2004-F1",#N/A,FALSE,"PPU-Telemig"}</definedName>
    <definedName name="res" hidden="1">{"MG-2002-F1",#N/A,FALSE,"PPU-Telemig";"MG-2002-F2",#N/A,FALSE,"PPU-Telemig";"MG-2002-F3",#N/A,FALSE,"PPU-Telemig";"MG-2002-F4",#N/A,FALSE,"PPU-Telemig";"MG-2003-F1",#N/A,FALSE,"PPU-Telemig";"MG-2004-F1",#N/A,FALSE,"PPU-Telemig"}</definedName>
    <definedName name="retail.minus.line.STAR.retail.minus.items.only">'Calculos STAR'!$J$97</definedName>
    <definedName name="retail.minus.star.doble">Resultados!$K$59</definedName>
    <definedName name="retail.minus.star.triple">Resultados!$K$106</definedName>
    <definedName name="Retail.profit">Control!$I$42</definedName>
    <definedName name="RF" localSheetId="7" hidden="1">{"'Edit'!$A$1:$V$2277"}</definedName>
    <definedName name="RF" hidden="1">{"'Edit'!$A$1:$V$2277"}</definedName>
    <definedName name="RR" localSheetId="7" hidden="1">{"MG-2002-F1",#N/A,FALSE,"PPU-Telemig";"MG-2002-F2",#N/A,FALSE,"PPU-Telemig";"MG-2002-F3",#N/A,FALSE,"PPU-Telemig";"MG-2002-F4",#N/A,FALSE,"PPU-Telemig";"MG-2003-F1",#N/A,FALSE,"PPU-Telemig";"MG-2004-F1",#N/A,FALSE,"PPU-Telemig"}</definedName>
    <definedName name="RR" hidden="1">{"MG-2002-F1",#N/A,FALSE,"PPU-Telemig";"MG-2002-F2",#N/A,FALSE,"PPU-Telemig";"MG-2002-F3",#N/A,FALSE,"PPU-Telemig";"MG-2002-F4",#N/A,FALSE,"PPU-Telemig";"MG-2003-F1",#N/A,FALSE,"PPU-Telemig";"MG-2004-F1",#N/A,FALSE,"PPU-Telemig"}</definedName>
    <definedName name="Rwvu.Full_Year." hidden="1">#N/A</definedName>
    <definedName name="SAP" localSheetId="7" hidden="1">Main.SAPF4Help()</definedName>
    <definedName name="SAP" hidden="1">Main.SAPF4Help()</definedName>
    <definedName name="SAPBEXdnldView" hidden="1">"3UCLXGX5U860E2OHQHIF1OFNZ"</definedName>
    <definedName name="SAPBEXhrIndnt" hidden="1">1</definedName>
    <definedName name="SAPBEXrevision" hidden="1">6</definedName>
    <definedName name="SAPBEXsysID" hidden="1">"BWP"</definedName>
    <definedName name="SAPBEXwbID" hidden="1">"41D4CLBV2R4F1IQN1VK18MLGT"</definedName>
    <definedName name="SAPFuncF4Help" localSheetId="7" hidden="1">Main.SAPF4Help()</definedName>
    <definedName name="SAPFuncF4Help" hidden="1">Main.SAPF4Help()</definedName>
    <definedName name="SAPFuncF5Help" localSheetId="7" hidden="1">Main.SAPF4Help()</definedName>
    <definedName name="SAPFuncF5Help" hidden="1">Main.SAPF4Help()</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2</definedName>
    <definedName name="solver_nwt" hidden="1">1</definedName>
    <definedName name="solver_pre" hidden="1">0.000001</definedName>
    <definedName name="solver_rel1" hidden="1">3</definedName>
    <definedName name="solver_rel2" hidden="1">3</definedName>
    <definedName name="solver_rhs1" hidden="1">0</definedName>
    <definedName name="solver_rhs2" hidden="1">0</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TELMEX" localSheetId="7" hidden="1">{"'Edit'!$A$1:$V$2277"}</definedName>
    <definedName name="TELMEX" hidden="1">{"'Edit'!$A$1:$V$2277"}</definedName>
    <definedName name="TF" localSheetId="7" hidden="1">{"'Edit'!$A$1:$V$2277"}</definedName>
    <definedName name="TF" hidden="1">{"'Edit'!$A$1:$V$2277"}</definedName>
    <definedName name="UIOPO" localSheetId="7" hidden="1">{#N/A,#N/A,FALSE,"523,Dual 2E,Smart";#N/A,#N/A,FALSE,"523,ST2,ST3,Smart";#N/A,#N/A,FALSE," 523,Dual3E,Smart"}</definedName>
    <definedName name="UIOPO" hidden="1">{#N/A,#N/A,FALSE,"523,Dual 2E,Smart";#N/A,#N/A,FALSE,"523,ST2,ST3,Smart";#N/A,#N/A,FALSE," 523,Dual3E,Smart"}</definedName>
    <definedName name="vector.distribution.users.STAR">'Cálculos principales'!$I$9:$DQ$9</definedName>
    <definedName name="vector.implicit.prices.otherservices.after.discount">'Cálculos principales'!$I$36:$DQ$36</definedName>
    <definedName name="vector.implicit.prices.otherservices.before.discount">'Cálculos principales'!$I$26:$DQ$26</definedName>
    <definedName name="vector.implicit.prices.STAR.after.discount">'Cálculos principales'!$I$34:$DQ$34</definedName>
    <definedName name="vector.implicit.prices.STAR.before.discount">'Cálculos principales'!$I$16:$DQ$16</definedName>
    <definedName name="vector.periodicity">'Cálculos principales'!$I$12:$DQ$12</definedName>
    <definedName name="vector.plans.names">Listas!$E$4:$E$178</definedName>
    <definedName name="vector.star.plans.names">Listas!$H$4:$H$178</definedName>
    <definedName name="vector.star.plans.singleplay.names">Listas!$K$4:$K$178</definedName>
    <definedName name="vector.users.broadband">'Cálculos principales'!$HM$8</definedName>
    <definedName name="vector.users.distribution.telephone">'Cálculos principales'!$I$12:$DN$12</definedName>
    <definedName name="vector.users.STAR">'Cálculos principales'!$I$8:$DQ$8</definedName>
    <definedName name="vtas" localSheetId="7" hidden="1">Main.SAPF4Help()</definedName>
    <definedName name="vtas" hidden="1">Main.SAPF4Help()</definedName>
    <definedName name="we" localSheetId="7" hidden="1">{"MG-2002-F1",#N/A,FALSE,"PPU-Telemig";"MG-2002-F2",#N/A,FALSE,"PPU-Telemig";"MG-2002-F3",#N/A,FALSE,"PPU-Telemig";"MG-2002-F4",#N/A,FALSE,"PPU-Telemig";"MG-2003-F1",#N/A,FALSE,"PPU-Telemig";"MG-2004-F1",#N/A,FALSE,"PPU-Telemig"}</definedName>
    <definedName name="we" hidden="1">{"MG-2002-F1",#N/A,FALSE,"PPU-Telemig";"MG-2002-F2",#N/A,FALSE,"PPU-Telemig";"MG-2002-F3",#N/A,FALSE,"PPU-Telemig";"MG-2002-F4",#N/A,FALSE,"PPU-Telemig";"MG-2003-F1",#N/A,FALSE,"PPU-Telemig";"MG-2004-F1",#N/A,FALSE,"PPU-Telemig"}</definedName>
    <definedName name="weighted.average.local.loop.by.plan">'Cálculos auxiliares'!$D$8:$K$121</definedName>
    <definedName name="WERTT" localSheetId="7" hidden="1">{"'Edit'!$A$1:$V$2277"}</definedName>
    <definedName name="WERTT" hidden="1">{"'Edit'!$A$1:$V$2277"}</definedName>
    <definedName name="WERTTYU" localSheetId="7" hidden="1">{"'Edit'!$A$1:$V$2277"}</definedName>
    <definedName name="WERTTYU" hidden="1">{"'Edit'!$A$1:$V$2277"}</definedName>
    <definedName name="Workbook.Version">#REF!</definedName>
    <definedName name="wrn.All." localSheetId="7"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wrn.All."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wrn.BA._.REPORT." localSheetId="7" hidden="1">{#N/A,#N/A,FALSE,"GNI Hub";#N/A,#N/A,FALSE,"GNI Pop";#N/A,#N/A,FALSE,"Cesium";#N/A,#N/A,FALSE,"LPR";#N/A,#N/A,FALSE,"LPR-LOU";#N/A,#N/A,FALSE,"GPS1100";#N/A,#N/A,FALSE,"523, Dual 2E";#N/A,#N/A,FALSE,"523,2E,3E";#N/A,#N/A,FALSE,"523, Dual 3E";#N/A,#N/A,FALSE,"520";#N/A,#N/A,FALSE,"520,3E";#N/A,#N/A,FALSE,"523,Dual 2E,Smart";#N/A,#N/A,FALSE,"523,ST2,ST3,Smart";#N/A,#N/A,FALSE," 523,Dual3E,Smart";#N/A,#N/A,FALSE,"523,Dual2E,SmartSSM";#N/A,#N/A,FALSE,"523,2E,3E,SmartSSM";#N/A,#N/A,FALSE,"523,Dual3E,SmartSSM";#N/A,#N/A,FALSE,"GNI Price Summary"}</definedName>
    <definedName name="wrn.BA._.REPORT." hidden="1">{#N/A,#N/A,FALSE,"GNI Hub";#N/A,#N/A,FALSE,"GNI Pop";#N/A,#N/A,FALSE,"Cesium";#N/A,#N/A,FALSE,"LPR";#N/A,#N/A,FALSE,"LPR-LOU";#N/A,#N/A,FALSE,"GPS1100";#N/A,#N/A,FALSE,"523, Dual 2E";#N/A,#N/A,FALSE,"523,2E,3E";#N/A,#N/A,FALSE,"523, Dual 3E";#N/A,#N/A,FALSE,"520";#N/A,#N/A,FALSE,"520,3E";#N/A,#N/A,FALSE,"523,Dual 2E,Smart";#N/A,#N/A,FALSE,"523,ST2,ST3,Smart";#N/A,#N/A,FALSE," 523,Dual3E,Smart";#N/A,#N/A,FALSE,"523,Dual2E,SmartSSM";#N/A,#N/A,FALSE,"523,2E,3E,SmartSSM";#N/A,#N/A,FALSE,"523,Dual3E,SmartSSM";#N/A,#N/A,FALSE,"GNI Price Summary"}</definedName>
    <definedName name="wrn.Classic._.Bits." localSheetId="7" hidden="1">{#N/A,#N/A,FALSE,"523, Dual 2E";#N/A,#N/A,FALSE,"523,2E,3E";#N/A,#N/A,FALSE,"523, Dual 3E";#N/A,#N/A,FALSE,"520";#N/A,#N/A,FALSE,"520,3E"}</definedName>
    <definedName name="wrn.Classic._.Bits." hidden="1">{#N/A,#N/A,FALSE,"523, Dual 2E";#N/A,#N/A,FALSE,"523,2E,3E";#N/A,#N/A,FALSE,"523, Dual 3E";#N/A,#N/A,FALSE,"520";#N/A,#N/A,FALSE,"520,3E"}</definedName>
    <definedName name="wrn.LPU._.MG." localSheetId="7" hidden="1">{"MG-2002-F1",#N/A,FALSE,"PPU-Telemig";"MG-2002-F2",#N/A,FALSE,"PPU-Telemig";"MG-2002-F3",#N/A,FALSE,"PPU-Telemig";"MG-2002-F4",#N/A,FALSE,"PPU-Telemig";"MG-2003-F1",#N/A,FALSE,"PPU-Telemig";"MG-2004-F1",#N/A,FALSE,"PPU-Telemig"}</definedName>
    <definedName name="wrn.LPU._.MG." hidden="1">{"MG-2002-F1",#N/A,FALSE,"PPU-Telemig";"MG-2002-F2",#N/A,FALSE,"PPU-Telemig";"MG-2002-F3",#N/A,FALSE,"PPU-Telemig";"MG-2002-F4",#N/A,FALSE,"PPU-Telemig";"MG-2003-F1",#N/A,FALSE,"PPU-Telemig";"MG-2004-F1",#N/A,FALSE,"PPU-Telemig"}</definedName>
    <definedName name="wrn.PRS." localSheetId="7" hidden="1">{#N/A,#N/A,FALSE,"DCD-Cs";#N/A,#N/A,FALSE,"LPR";#N/A,#N/A,FALSE,"LPR-LOU";#N/A,#N/A,FALSE,"GPS1100";#N/A,#N/A,FALSE,"Secure7"}</definedName>
    <definedName name="wrn.PRS." hidden="1">{#N/A,#N/A,FALSE,"DCD-Cs";#N/A,#N/A,FALSE,"LPR";#N/A,#N/A,FALSE,"LPR-LOU";#N/A,#N/A,FALSE,"GPS1100";#N/A,#N/A,FALSE,"Secure7"}</definedName>
    <definedName name="wrn.Smart._.Bits." localSheetId="7" hidden="1">{#N/A,#N/A,FALSE,"523,Dual 2E,Smart";#N/A,#N/A,FALSE,"523,ST2,ST3,Smart";#N/A,#N/A,FALSE," 523,Dual3E,Smart"}</definedName>
    <definedName name="wrn.Smart._.Bits." hidden="1">{#N/A,#N/A,FALSE,"523,Dual 2E,Smart";#N/A,#N/A,FALSE,"523,ST2,ST3,Smart";#N/A,#N/A,FALSE," 523,Dual3E,Smart"}</definedName>
    <definedName name="wrn.Smart._.Bits._.SSM." localSheetId="7" hidden="1">{#N/A,#N/A,FALSE,"523,Dual2E,SmartSSM";#N/A,#N/A,FALSE,"523,2E,3E,SmartSSM";#N/A,#N/A,FALSE,"523,Dual3E,SmartSSM"}</definedName>
    <definedName name="wrn.Smart._.Bits._.SSM." hidden="1">{#N/A,#N/A,FALSE,"523,Dual2E,SmartSSM";#N/A,#N/A,FALSE,"523,2E,3E,SmartSSM";#N/A,#N/A,FALSE,"523,Dual3E,SmartSSM"}</definedName>
    <definedName name="WW" localSheetId="7" hidden="1">{"MG-2002-F1",#N/A,FALSE,"PPU-Telemig";"MG-2002-F2",#N/A,FALSE,"PPU-Telemig";"MG-2002-F3",#N/A,FALSE,"PPU-Telemig";"MG-2002-F4",#N/A,FALSE,"PPU-Telemig";"MG-2003-F1",#N/A,FALSE,"PPU-Telemig";"MG-2004-F1",#N/A,FALSE,"PPU-Telemig"}</definedName>
    <definedName name="WW" hidden="1">{"MG-2002-F1",#N/A,FALSE,"PPU-Telemig";"MG-2002-F2",#N/A,FALSE,"PPU-Telemig";"MG-2002-F3",#N/A,FALSE,"PPU-Telemig";"MG-2002-F4",#N/A,FALSE,"PPU-Telemig";"MG-2003-F1",#N/A,FALSE,"PPU-Telemig";"MG-2004-F1",#N/A,FALSE,"PPU-Telemig"}</definedName>
    <definedName name="Y" localSheetId="7" hidden="1">Main.SAPF4Help()</definedName>
    <definedName name="Y" hidden="1">Main.SAPF4Help()</definedName>
    <definedName name="Year.selected">Control!$I$6</definedName>
    <definedName name="Years">Listas!$B$4:$B$9</definedName>
    <definedName name="years.client.retention">Control!$I$47</definedName>
    <definedName name="Z_0286AE20_8772_11D5_A132_00C04FB84EEB_.wvu.Cols" hidden="1">#REF!,#REF!,#REF!,#REF!,#REF!,#REF!,#REF!</definedName>
    <definedName name="Z_0C014924_4C6F_11D6_8BB0_00065B16470D_.wvu.Cols" hidden="1">#REF!</definedName>
    <definedName name="Z_2031940B_B6A8_11D7_9377_00065B5FD241_.wvu.FilterData" hidden="1">#REF!</definedName>
    <definedName name="Z_85C65861_B6C5_11D7_8BB0_00065B16470D_.wvu.FilterData" hidden="1">#REF!</definedName>
    <definedName name="Z_85C65861_B6C5_11D7_8BB0_00065B16470D_.wvu.PrintArea" hidden="1">#REF!</definedName>
    <definedName name="Z_85C65861_B6C5_11D7_8BB0_00065B16470D_.wvu.Rows" hidden="1">#REF!</definedName>
    <definedName name="Z_A68681A2_D97A_11D8_B841_00065B5FD048_.wvu.Cols" hidden="1">#REF!</definedName>
    <definedName name="Z_A68681A2_D97A_11D8_B841_00065B5FD048_.wvu.FilterData" hidden="1">#REF!</definedName>
    <definedName name="Z_C272E4E8_D96A_11D8_ADDD_00065B4FBBAF_.wvu.Cols" hidden="1">#REF!</definedName>
    <definedName name="Z_C272E4E8_D96A_11D8_ADDD_00065B4FBBAF_.wvu.FilterData" hidden="1">#REF!</definedName>
    <definedName name="ZSXDCFV" localSheetId="7" hidden="1">{#N/A,#N/A,FALSE,"523, Dual 2E";#N/A,#N/A,FALSE,"523,2E,3E";#N/A,#N/A,FALSE,"523, Dual 3E";#N/A,#N/A,FALSE,"520";#N/A,#N/A,FALSE,"520,3E"}</definedName>
    <definedName name="ZSXDCFV" hidden="1">{#N/A,#N/A,FALSE,"523, Dual 2E";#N/A,#N/A,FALSE,"523,2E,3E";#N/A,#N/A,FALSE,"523, Dual 3E";#N/A,#N/A,FALSE,"520";#N/A,#N/A,FALSE,"520,3E"}</definedName>
  </definedNames>
  <calcPr calcId="191029"/>
  <extLst>
    <ext xmlns:x15="http://schemas.microsoft.com/office/spreadsheetml/2010/11/main" uri="{FCE2AD5D-F65C-4FA6-A056-5C36A1767C68}">
      <x15:dataModel>
        <x15:modelTables>
          <x15:modelTable id="Tarifas2024" name="Tarifas2024" connection="WorksheetConnection_Modelo de Costos evitados Megacable v1.1.xlsx!Tarifas2024"/>
          <x15:modelTable id="Tarifas2023" name="Tarifas2023" connection="WorksheetConnection_Modelo de Costos evitados Megacable v1.1.xlsx!Tarifas2023"/>
          <x15:modelTable id="Suscriptoresc" name="Suscriptoresc" connection="WorksheetConnection_Modelo de Costos evitados Megacable v1.1.xlsx!Suscriptoresc"/>
          <x15:modelTable id="Suscriptoresb" name="Suscriptoresb" connection="WorksheetConnection_Modelo de Costos evitados Megacable v1.1.xlsx!Suscriptoresb"/>
          <x15:modelTable id="Suscriptoresa" name="Suscriptoresa" connection="WorksheetConnection_Modelo de Costos evitados Megacable v1.1.xlsx!Suscriptoresa"/>
          <x15:modelTable id="Canasta2024" name="Canasta2024" connection="WorksheetConnection_Modelo de Costos evitados Megacable v1.1.xlsx!Canasta2024"/>
          <x15:modelTable id="Canasta2023" name="Canasta2023" connection="WorksheetConnection_Modelo de Costos evitados Megacable v1.1.xlsx!Canasta2023"/>
        </x15:modelTables>
        <x15:modelRelationships>
          <x15:modelRelationship fromTable="Tarifas2023" fromColumn="Folio RPC" toTable="Canasta2024" toColumn="Folio RPC"/>
          <x15:modelRelationship fromTable="Tarifas2023" fromColumn="Folio RPC" toTable="Tarifas2024" toColumn="Folio RPC"/>
          <x15:modelRelationship fromTable="Canasta2024" fromColumn="Folio RPC" toTable="Canasta2023" toColumn="Folio RPC"/>
        </x15:modelRelationships>
      </x15:dataModel>
    </ext>
  </extLst>
</workbook>
</file>

<file path=xl/calcChain.xml><?xml version="1.0" encoding="utf-8"?>
<calcChain xmlns="http://schemas.openxmlformats.org/spreadsheetml/2006/main">
  <c r="DQ24" i="60" l="1"/>
  <c r="DP24" i="60"/>
  <c r="DO24" i="60"/>
  <c r="DN24" i="60"/>
  <c r="DM24" i="60"/>
  <c r="DK24" i="60"/>
  <c r="DJ24" i="60"/>
  <c r="DI24" i="60"/>
  <c r="DH24" i="60"/>
  <c r="DG24" i="60"/>
  <c r="DF24" i="60"/>
  <c r="DE24" i="60"/>
  <c r="DD24" i="60"/>
  <c r="DC24" i="60"/>
  <c r="DB24" i="60"/>
  <c r="DA24" i="60"/>
  <c r="CZ24" i="60"/>
  <c r="CY24" i="60"/>
  <c r="CX24" i="60"/>
  <c r="CW24" i="60"/>
  <c r="CV24" i="60"/>
  <c r="CU24" i="60"/>
  <c r="CT24" i="60"/>
  <c r="CS24" i="60"/>
  <c r="CR24" i="60"/>
  <c r="CQ24" i="60"/>
  <c r="CP24" i="60"/>
  <c r="CO24" i="60"/>
  <c r="CN24" i="60"/>
  <c r="CM24" i="60"/>
  <c r="CL24" i="60"/>
  <c r="CK24" i="60"/>
  <c r="CJ24" i="60"/>
  <c r="CI24" i="60"/>
  <c r="CH24" i="60"/>
  <c r="CG24" i="60"/>
  <c r="CF24" i="60"/>
  <c r="CE24" i="60"/>
  <c r="CD24" i="60"/>
  <c r="CC24" i="60"/>
  <c r="CB24" i="60"/>
  <c r="CA24" i="60"/>
  <c r="BZ24" i="60"/>
  <c r="BY24" i="60"/>
  <c r="BX24" i="60"/>
  <c r="BW24" i="60"/>
  <c r="BV24" i="60"/>
  <c r="BU24" i="60"/>
  <c r="BT24" i="60"/>
  <c r="BS24" i="60"/>
  <c r="BR24" i="60"/>
  <c r="BQ24" i="60"/>
  <c r="BP24" i="60"/>
  <c r="BO24" i="60"/>
  <c r="BN24" i="60"/>
  <c r="BM24" i="60"/>
  <c r="BL24" i="60"/>
  <c r="BK24" i="60"/>
  <c r="BJ24" i="60"/>
  <c r="BI24" i="60"/>
  <c r="BH24" i="60"/>
  <c r="BG24" i="60"/>
  <c r="BF24" i="60"/>
  <c r="BE24" i="60"/>
  <c r="BD24" i="60"/>
  <c r="BC24" i="60"/>
  <c r="BB24" i="60"/>
  <c r="BA24" i="60"/>
  <c r="AZ24" i="60"/>
  <c r="AY24" i="60"/>
  <c r="AX24" i="60"/>
  <c r="AW24" i="60"/>
  <c r="AV24" i="60"/>
  <c r="AU24" i="60"/>
  <c r="AT24" i="60"/>
  <c r="AS24" i="60"/>
  <c r="AR24" i="60"/>
  <c r="AQ24" i="60"/>
  <c r="AP24" i="60"/>
  <c r="AO24" i="60"/>
  <c r="AN24" i="60"/>
  <c r="AM24" i="60"/>
  <c r="AL24" i="60"/>
  <c r="AK24" i="60"/>
  <c r="AJ24" i="60"/>
  <c r="AI24" i="60"/>
  <c r="AH24" i="60"/>
  <c r="AG24" i="60"/>
  <c r="AF24" i="60"/>
  <c r="AE24" i="60"/>
  <c r="AD24" i="60"/>
  <c r="AC24" i="60"/>
  <c r="AB24" i="60"/>
  <c r="AA24" i="60"/>
  <c r="Z24" i="60"/>
  <c r="Y24" i="60"/>
  <c r="X24" i="60"/>
  <c r="W24" i="60"/>
  <c r="V24" i="60"/>
  <c r="U24" i="60"/>
  <c r="T24" i="60"/>
  <c r="S24" i="60"/>
  <c r="R24" i="60"/>
  <c r="Q24" i="60"/>
  <c r="P24" i="60"/>
  <c r="O24" i="60"/>
  <c r="N24" i="60"/>
  <c r="M24" i="60"/>
  <c r="L24" i="60"/>
  <c r="K24" i="60"/>
  <c r="J24" i="60"/>
  <c r="I24" i="60"/>
  <c r="DL24" i="60"/>
  <c r="F12" i="93" l="1"/>
  <c r="F11" i="93"/>
  <c r="F10" i="93"/>
  <c r="F9" i="93"/>
  <c r="F105" i="93"/>
  <c r="F104" i="93"/>
  <c r="F103" i="93"/>
  <c r="F102" i="93"/>
  <c r="F101" i="93"/>
  <c r="F100" i="93"/>
  <c r="F99" i="93"/>
  <c r="F98" i="93"/>
  <c r="F97" i="93"/>
  <c r="F96" i="93"/>
  <c r="F86" i="93"/>
  <c r="F85" i="93"/>
  <c r="F84" i="93"/>
  <c r="F83" i="93"/>
  <c r="F82" i="93"/>
  <c r="F81" i="93"/>
  <c r="F80" i="93"/>
  <c r="F79" i="93"/>
  <c r="F78" i="93"/>
  <c r="F95" i="93"/>
  <c r="F94" i="93"/>
  <c r="F93" i="93"/>
  <c r="F92" i="93"/>
  <c r="F91" i="93"/>
  <c r="F90" i="93"/>
  <c r="F89" i="93"/>
  <c r="F88" i="93"/>
  <c r="F87" i="93"/>
  <c r="F58" i="93"/>
  <c r="F57" i="93"/>
  <c r="F56" i="93"/>
  <c r="F55" i="93"/>
  <c r="F54" i="93"/>
  <c r="F53" i="93"/>
  <c r="F52" i="93"/>
  <c r="F51" i="93"/>
  <c r="F50" i="93"/>
  <c r="F40" i="93"/>
  <c r="F39" i="93"/>
  <c r="F38" i="93"/>
  <c r="F37" i="93"/>
  <c r="F36" i="93"/>
  <c r="F35" i="93"/>
  <c r="F34" i="93"/>
  <c r="F33" i="93"/>
  <c r="F32" i="93"/>
  <c r="F77" i="93"/>
  <c r="F76" i="93"/>
  <c r="F75" i="93"/>
  <c r="F74" i="93"/>
  <c r="F73" i="93"/>
  <c r="F72" i="93"/>
  <c r="F71" i="93"/>
  <c r="F70" i="93"/>
  <c r="F69" i="93"/>
  <c r="F68" i="93"/>
  <c r="F49" i="93"/>
  <c r="F48" i="93"/>
  <c r="F47" i="93"/>
  <c r="F46" i="93"/>
  <c r="F45" i="93"/>
  <c r="F44" i="93"/>
  <c r="F43" i="93"/>
  <c r="F42" i="93"/>
  <c r="F41" i="93"/>
  <c r="F31" i="93"/>
  <c r="F30" i="93"/>
  <c r="F29" i="93"/>
  <c r="F28" i="93"/>
  <c r="F27" i="93"/>
  <c r="F26" i="93"/>
  <c r="F25" i="93"/>
  <c r="F24" i="93"/>
  <c r="F23" i="93"/>
  <c r="F22" i="93"/>
  <c r="F8" i="93"/>
  <c r="C49" i="58" l="1"/>
  <c r="C253" i="59" l="1"/>
  <c r="J79" i="63" l="1"/>
  <c r="G250" i="59" l="1"/>
  <c r="X240" i="59" l="1"/>
  <c r="W240" i="59"/>
  <c r="W241" i="59"/>
  <c r="V240" i="59"/>
  <c r="V241" i="59"/>
  <c r="S240" i="59"/>
  <c r="S241" i="59"/>
  <c r="S242" i="59"/>
  <c r="S243" i="59"/>
  <c r="S244" i="59"/>
  <c r="S245" i="59"/>
  <c r="S246" i="59"/>
  <c r="T240" i="59"/>
  <c r="Q240" i="59"/>
  <c r="Q241" i="59"/>
  <c r="I119" i="92" l="1"/>
  <c r="J60" i="63"/>
  <c r="J59" i="63"/>
  <c r="L7" i="92" l="1"/>
  <c r="N11" i="93" s="1"/>
  <c r="L8" i="92"/>
  <c r="N12" i="93" s="1"/>
  <c r="L9" i="92"/>
  <c r="N42" i="93" s="1"/>
  <c r="L10" i="92"/>
  <c r="N47" i="93" s="1"/>
  <c r="L11" i="92"/>
  <c r="N45" i="93" s="1"/>
  <c r="L12" i="92"/>
  <c r="N43" i="93" s="1"/>
  <c r="L13" i="92"/>
  <c r="N48" i="93" s="1"/>
  <c r="L14" i="92"/>
  <c r="N44" i="93" s="1"/>
  <c r="L15" i="92"/>
  <c r="N49" i="93" s="1"/>
  <c r="L16" i="92"/>
  <c r="N41" i="93" s="1"/>
  <c r="L17" i="92"/>
  <c r="N46" i="93" s="1"/>
  <c r="L18" i="92"/>
  <c r="L19" i="92"/>
  <c r="L20" i="92"/>
  <c r="L21" i="92"/>
  <c r="L22" i="92"/>
  <c r="L23" i="92"/>
  <c r="L24" i="92"/>
  <c r="L25" i="92"/>
  <c r="L26" i="92"/>
  <c r="L27" i="92"/>
  <c r="L28" i="92"/>
  <c r="L29" i="92"/>
  <c r="L30" i="92"/>
  <c r="L31" i="92"/>
  <c r="L32" i="92"/>
  <c r="L33" i="92"/>
  <c r="L34" i="92"/>
  <c r="L35" i="92"/>
  <c r="L36" i="92"/>
  <c r="N51" i="93" s="1"/>
  <c r="L37" i="92"/>
  <c r="N56" i="93" s="1"/>
  <c r="L38" i="92"/>
  <c r="N54" i="93" s="1"/>
  <c r="L39" i="92"/>
  <c r="N52" i="93" s="1"/>
  <c r="L40" i="92"/>
  <c r="N57" i="93" s="1"/>
  <c r="L41" i="92"/>
  <c r="N53" i="93" s="1"/>
  <c r="L42" i="92"/>
  <c r="N58" i="93" s="1"/>
  <c r="L43" i="92"/>
  <c r="N50" i="93" s="1"/>
  <c r="L44" i="92"/>
  <c r="N55" i="93" s="1"/>
  <c r="L45" i="92"/>
  <c r="N88" i="93" s="1"/>
  <c r="L46" i="92"/>
  <c r="N93" i="93" s="1"/>
  <c r="L47" i="92"/>
  <c r="N91" i="93" s="1"/>
  <c r="L48" i="92"/>
  <c r="N89" i="93" s="1"/>
  <c r="L49" i="92"/>
  <c r="N94" i="93" s="1"/>
  <c r="L50" i="92"/>
  <c r="N90" i="93" s="1"/>
  <c r="L51" i="92"/>
  <c r="N95" i="93" s="1"/>
  <c r="L52" i="92"/>
  <c r="N87" i="93" s="1"/>
  <c r="L53" i="92"/>
  <c r="N92" i="93" s="1"/>
  <c r="L54" i="92"/>
  <c r="N97" i="93" s="1"/>
  <c r="L55" i="92"/>
  <c r="N102" i="93" s="1"/>
  <c r="L56" i="92"/>
  <c r="N100" i="93" s="1"/>
  <c r="L57" i="92"/>
  <c r="N98" i="93" s="1"/>
  <c r="L58" i="92"/>
  <c r="N103" i="93" s="1"/>
  <c r="L59" i="92"/>
  <c r="N99" i="93" s="1"/>
  <c r="L60" i="92"/>
  <c r="N104" i="93" s="1"/>
  <c r="L61" i="92"/>
  <c r="N96" i="93" s="1"/>
  <c r="L62" i="92"/>
  <c r="N101" i="93" s="1"/>
  <c r="L63" i="92"/>
  <c r="N9" i="93" s="1"/>
  <c r="L64" i="92"/>
  <c r="N10" i="93" s="1"/>
  <c r="L65" i="92"/>
  <c r="N24" i="93" s="1"/>
  <c r="L66" i="92"/>
  <c r="N29" i="93" s="1"/>
  <c r="L67" i="92"/>
  <c r="N27" i="93" s="1"/>
  <c r="L68" i="92"/>
  <c r="N25" i="93" s="1"/>
  <c r="L69" i="92"/>
  <c r="N30" i="93" s="1"/>
  <c r="L70" i="92"/>
  <c r="N26" i="93" s="1"/>
  <c r="L71" i="92"/>
  <c r="N31" i="93" s="1"/>
  <c r="L72" i="92"/>
  <c r="N23" i="93" s="1"/>
  <c r="L73" i="92"/>
  <c r="N28" i="93" s="1"/>
  <c r="L74" i="92"/>
  <c r="L75" i="92"/>
  <c r="L76" i="92"/>
  <c r="L77" i="92"/>
  <c r="L78" i="92"/>
  <c r="L79" i="92"/>
  <c r="L80" i="92"/>
  <c r="L81" i="92"/>
  <c r="L82" i="92"/>
  <c r="L83" i="92"/>
  <c r="L84" i="92"/>
  <c r="L85" i="92"/>
  <c r="L86" i="92"/>
  <c r="L87" i="92"/>
  <c r="L88" i="92"/>
  <c r="L89" i="92"/>
  <c r="L90" i="92"/>
  <c r="L91" i="92"/>
  <c r="L92" i="92"/>
  <c r="N33" i="93" s="1"/>
  <c r="L93" i="92"/>
  <c r="N38" i="93" s="1"/>
  <c r="L94" i="92"/>
  <c r="N36" i="93" s="1"/>
  <c r="L95" i="92"/>
  <c r="N34" i="93" s="1"/>
  <c r="L96" i="92"/>
  <c r="N39" i="93" s="1"/>
  <c r="L97" i="92"/>
  <c r="N35" i="93" s="1"/>
  <c r="L98" i="92"/>
  <c r="N40" i="93" s="1"/>
  <c r="L99" i="92"/>
  <c r="N32" i="93" s="1"/>
  <c r="L100" i="92"/>
  <c r="N37" i="93" s="1"/>
  <c r="L101" i="92"/>
  <c r="N70" i="93" s="1"/>
  <c r="L102" i="92"/>
  <c r="N75" i="93" s="1"/>
  <c r="L103" i="92"/>
  <c r="N73" i="93" s="1"/>
  <c r="L104" i="92"/>
  <c r="N71" i="93" s="1"/>
  <c r="L105" i="92"/>
  <c r="N76" i="93" s="1"/>
  <c r="L106" i="92"/>
  <c r="N72" i="93" s="1"/>
  <c r="L107" i="92"/>
  <c r="N77" i="93" s="1"/>
  <c r="L108" i="92"/>
  <c r="N69" i="93" s="1"/>
  <c r="L109" i="92"/>
  <c r="N74" i="93" s="1"/>
  <c r="L110" i="92"/>
  <c r="N79" i="93" s="1"/>
  <c r="L111" i="92"/>
  <c r="N84" i="93" s="1"/>
  <c r="L112" i="92"/>
  <c r="N82" i="93" s="1"/>
  <c r="L113" i="92"/>
  <c r="N80" i="93" s="1"/>
  <c r="L114" i="92"/>
  <c r="N85" i="93" s="1"/>
  <c r="L115" i="92"/>
  <c r="N81" i="93" s="1"/>
  <c r="L116" i="92"/>
  <c r="N86" i="93" s="1"/>
  <c r="L117" i="92"/>
  <c r="N78" i="93" s="1"/>
  <c r="L118" i="92"/>
  <c r="N83" i="93" s="1"/>
  <c r="L119" i="92"/>
  <c r="N105" i="93" s="1"/>
  <c r="I65" i="92"/>
  <c r="I66" i="92"/>
  <c r="I67" i="92"/>
  <c r="I68" i="92"/>
  <c r="I69" i="92"/>
  <c r="I70" i="92"/>
  <c r="I71" i="92"/>
  <c r="I72" i="92"/>
  <c r="I73" i="92"/>
  <c r="I74" i="92"/>
  <c r="I75" i="92"/>
  <c r="I63" i="92"/>
  <c r="I8" i="92"/>
  <c r="I28" i="92"/>
  <c r="I29" i="92"/>
  <c r="I31" i="92"/>
  <c r="I33" i="92"/>
  <c r="I34" i="92"/>
  <c r="I35" i="92"/>
  <c r="I36" i="92"/>
  <c r="I37" i="92"/>
  <c r="I38" i="92"/>
  <c r="I55" i="92"/>
  <c r="I56" i="92"/>
  <c r="I27" i="92"/>
  <c r="I30" i="92"/>
  <c r="I32" i="92"/>
  <c r="I39" i="92"/>
  <c r="I40" i="92"/>
  <c r="I41" i="92"/>
  <c r="I42" i="92"/>
  <c r="I43" i="92"/>
  <c r="I44" i="92"/>
  <c r="I54" i="92"/>
  <c r="I57" i="92"/>
  <c r="I58" i="92"/>
  <c r="I59" i="92"/>
  <c r="I60" i="92"/>
  <c r="I61" i="92"/>
  <c r="I62" i="92"/>
  <c r="I53" i="92" l="1"/>
  <c r="I102" i="92"/>
  <c r="I100" i="92"/>
  <c r="I15" i="92"/>
  <c r="I13" i="92"/>
  <c r="I91" i="92"/>
  <c r="I103" i="92"/>
  <c r="I48" i="92"/>
  <c r="I16" i="92"/>
  <c r="I77" i="92"/>
  <c r="I46" i="92"/>
  <c r="I98" i="92"/>
  <c r="I76" i="92"/>
  <c r="I45" i="92"/>
  <c r="I96" i="92"/>
  <c r="I117" i="92"/>
  <c r="I115" i="92"/>
  <c r="I9" i="92"/>
  <c r="I113" i="92"/>
  <c r="I112" i="92"/>
  <c r="I110" i="92"/>
  <c r="I109" i="92"/>
  <c r="I108" i="92"/>
  <c r="I24" i="92"/>
  <c r="I84" i="92"/>
  <c r="I20" i="92"/>
  <c r="I19" i="92"/>
  <c r="I80" i="92"/>
  <c r="I18" i="92"/>
  <c r="I79" i="92"/>
  <c r="I17" i="92"/>
  <c r="I47" i="92"/>
  <c r="I99" i="92"/>
  <c r="I14" i="92"/>
  <c r="I118" i="92"/>
  <c r="I116" i="92"/>
  <c r="I93" i="92"/>
  <c r="I92" i="92"/>
  <c r="I90" i="92"/>
  <c r="I111" i="92"/>
  <c r="I51" i="92"/>
  <c r="I50" i="92"/>
  <c r="I87" i="92"/>
  <c r="I94" i="92"/>
  <c r="I85" i="92"/>
  <c r="I81" i="92"/>
  <c r="I49" i="92"/>
  <c r="I101" i="92"/>
  <c r="I78" i="92"/>
  <c r="I64" i="92"/>
  <c r="I97" i="92"/>
  <c r="I12" i="92"/>
  <c r="I11" i="92"/>
  <c r="I10" i="92"/>
  <c r="I114" i="92"/>
  <c r="I7" i="92"/>
  <c r="I89" i="92"/>
  <c r="I88" i="92"/>
  <c r="I26" i="92"/>
  <c r="I95" i="92"/>
  <c r="I25" i="92"/>
  <c r="I86" i="92"/>
  <c r="I107" i="92"/>
  <c r="I23" i="92"/>
  <c r="I106" i="92"/>
  <c r="I22" i="92"/>
  <c r="I105" i="92"/>
  <c r="I83" i="92"/>
  <c r="I52" i="92"/>
  <c r="I21" i="92"/>
  <c r="I104" i="92"/>
  <c r="I82" i="92"/>
  <c r="BM16" i="60"/>
  <c r="E7" i="59"/>
  <c r="F7" i="59"/>
  <c r="D7" i="59"/>
  <c r="D8" i="59" a="1"/>
  <c r="D8" i="59" s="1"/>
  <c r="K134" i="52"/>
  <c r="G8" i="59" l="1"/>
  <c r="H8" i="59"/>
  <c r="D127" i="59"/>
  <c r="D111" i="59"/>
  <c r="E111" i="59" s="1"/>
  <c r="D70" i="59"/>
  <c r="F70" i="59" s="1"/>
  <c r="D42" i="59"/>
  <c r="D115" i="59"/>
  <c r="D114" i="59"/>
  <c r="D113" i="59"/>
  <c r="D112" i="59"/>
  <c r="D83" i="59"/>
  <c r="D73" i="59"/>
  <c r="D72" i="59"/>
  <c r="D71" i="59"/>
  <c r="D41" i="59"/>
  <c r="E8" i="59"/>
  <c r="J8" i="59"/>
  <c r="F8" i="59"/>
  <c r="D39" i="59"/>
  <c r="D29" i="59"/>
  <c r="D28" i="59"/>
  <c r="D110" i="59"/>
  <c r="D69" i="59"/>
  <c r="D27" i="59"/>
  <c r="D109" i="59"/>
  <c r="D68" i="59"/>
  <c r="D26" i="59"/>
  <c r="D108" i="59"/>
  <c r="D67" i="59"/>
  <c r="D25" i="59"/>
  <c r="D107" i="59"/>
  <c r="D66" i="59"/>
  <c r="D24" i="59"/>
  <c r="D105" i="59"/>
  <c r="D65" i="59"/>
  <c r="D23" i="59"/>
  <c r="D101" i="59"/>
  <c r="D64" i="59"/>
  <c r="D22" i="59"/>
  <c r="D95" i="59"/>
  <c r="D63" i="59"/>
  <c r="D21" i="59"/>
  <c r="D94" i="59"/>
  <c r="D61" i="59"/>
  <c r="D20" i="59"/>
  <c r="D93" i="59"/>
  <c r="D51" i="59"/>
  <c r="D19" i="59"/>
  <c r="D92" i="59"/>
  <c r="D50" i="59"/>
  <c r="D17" i="59"/>
  <c r="D49" i="59"/>
  <c r="D48" i="59"/>
  <c r="D91" i="59"/>
  <c r="D90" i="59"/>
  <c r="D89" i="59"/>
  <c r="D47" i="59"/>
  <c r="D88" i="59"/>
  <c r="D46" i="59"/>
  <c r="D87" i="59"/>
  <c r="D45" i="59"/>
  <c r="D117" i="59"/>
  <c r="D86" i="59"/>
  <c r="D44" i="59"/>
  <c r="D116" i="59"/>
  <c r="D85" i="59"/>
  <c r="D43" i="59"/>
  <c r="D106" i="59"/>
  <c r="D84" i="59"/>
  <c r="D62" i="59"/>
  <c r="D40" i="59"/>
  <c r="D18" i="59"/>
  <c r="D104" i="59"/>
  <c r="D82" i="59"/>
  <c r="D60" i="59"/>
  <c r="D38" i="59"/>
  <c r="D16" i="59"/>
  <c r="D103" i="59"/>
  <c r="D81" i="59"/>
  <c r="D59" i="59"/>
  <c r="D37" i="59"/>
  <c r="D15" i="59"/>
  <c r="D102" i="59"/>
  <c r="D80" i="59"/>
  <c r="D58" i="59"/>
  <c r="D36" i="59"/>
  <c r="D14" i="59"/>
  <c r="D77" i="59"/>
  <c r="D55" i="59"/>
  <c r="D33" i="59"/>
  <c r="D11" i="59"/>
  <c r="D54" i="59"/>
  <c r="D79" i="59"/>
  <c r="D57" i="59"/>
  <c r="D35" i="59"/>
  <c r="D13" i="59"/>
  <c r="D100" i="59"/>
  <c r="D78" i="59"/>
  <c r="D56" i="59"/>
  <c r="D34" i="59"/>
  <c r="D12" i="59"/>
  <c r="D99" i="59"/>
  <c r="D120" i="59"/>
  <c r="D98" i="59"/>
  <c r="D76" i="59"/>
  <c r="D10" i="59"/>
  <c r="D119" i="59"/>
  <c r="D97" i="59"/>
  <c r="D75" i="59"/>
  <c r="D53" i="59"/>
  <c r="D31" i="59"/>
  <c r="D9" i="59"/>
  <c r="D32" i="59"/>
  <c r="D118" i="59"/>
  <c r="D96" i="59"/>
  <c r="D74" i="59"/>
  <c r="D52" i="59"/>
  <c r="D30" i="59"/>
  <c r="F111" i="59" l="1"/>
  <c r="E70" i="59"/>
  <c r="J70" i="59"/>
  <c r="J111" i="59"/>
  <c r="H87" i="59"/>
  <c r="G87" i="59"/>
  <c r="D206" i="59"/>
  <c r="D165" i="59"/>
  <c r="G46" i="59"/>
  <c r="H46" i="59"/>
  <c r="H99" i="59"/>
  <c r="G99" i="59"/>
  <c r="D218" i="59"/>
  <c r="H37" i="59"/>
  <c r="G37" i="59"/>
  <c r="D156" i="59"/>
  <c r="D142" i="59"/>
  <c r="H23" i="59"/>
  <c r="G23" i="59"/>
  <c r="H12" i="59"/>
  <c r="G12" i="59"/>
  <c r="D131" i="59"/>
  <c r="D143" i="59"/>
  <c r="H24" i="59"/>
  <c r="G24" i="59"/>
  <c r="G72" i="59"/>
  <c r="D191" i="59"/>
  <c r="H72" i="59"/>
  <c r="H98" i="59"/>
  <c r="G98" i="59"/>
  <c r="D217" i="59"/>
  <c r="H15" i="59"/>
  <c r="G15" i="59"/>
  <c r="D134" i="59"/>
  <c r="D160" i="59"/>
  <c r="H41" i="59"/>
  <c r="G41" i="59"/>
  <c r="H59" i="59"/>
  <c r="G59" i="59"/>
  <c r="D178" i="59"/>
  <c r="H65" i="59"/>
  <c r="G65" i="59"/>
  <c r="D184" i="59"/>
  <c r="H34" i="59"/>
  <c r="G34" i="59"/>
  <c r="D153" i="59"/>
  <c r="D208" i="59"/>
  <c r="H89" i="59"/>
  <c r="G89" i="59"/>
  <c r="G16" i="59"/>
  <c r="H16" i="59"/>
  <c r="D135" i="59"/>
  <c r="G38" i="59"/>
  <c r="H38" i="59"/>
  <c r="D157" i="59"/>
  <c r="D185" i="59"/>
  <c r="H66" i="59"/>
  <c r="G66" i="59"/>
  <c r="G60" i="59"/>
  <c r="H60" i="59"/>
  <c r="D179" i="59"/>
  <c r="D226" i="59"/>
  <c r="H107" i="59"/>
  <c r="G107" i="59"/>
  <c r="G30" i="59"/>
  <c r="H30" i="59"/>
  <c r="D149" i="59"/>
  <c r="H54" i="59"/>
  <c r="G54" i="59"/>
  <c r="D173" i="59"/>
  <c r="D138" i="59"/>
  <c r="H19" i="59"/>
  <c r="G19" i="59"/>
  <c r="H11" i="59"/>
  <c r="G11" i="59"/>
  <c r="D130" i="59"/>
  <c r="G113" i="59"/>
  <c r="D232" i="59"/>
  <c r="H113" i="59"/>
  <c r="D225" i="59"/>
  <c r="H106" i="59"/>
  <c r="G106" i="59"/>
  <c r="G75" i="59"/>
  <c r="D194" i="59"/>
  <c r="H75" i="59"/>
  <c r="G96" i="59"/>
  <c r="H96" i="59"/>
  <c r="D215" i="59"/>
  <c r="D159" i="59"/>
  <c r="H40" i="59"/>
  <c r="G40" i="59"/>
  <c r="G92" i="59"/>
  <c r="D211" i="59"/>
  <c r="H92" i="59"/>
  <c r="D181" i="59"/>
  <c r="H62" i="59"/>
  <c r="G62" i="59"/>
  <c r="D231" i="59"/>
  <c r="G112" i="59"/>
  <c r="H112" i="59"/>
  <c r="H32" i="59"/>
  <c r="G32" i="59"/>
  <c r="D151" i="59"/>
  <c r="D203" i="59"/>
  <c r="H84" i="59"/>
  <c r="G84" i="59"/>
  <c r="H51" i="59"/>
  <c r="D170" i="59"/>
  <c r="G51" i="59"/>
  <c r="H33" i="59"/>
  <c r="D152" i="59"/>
  <c r="G33" i="59"/>
  <c r="G114" i="59"/>
  <c r="D233" i="59"/>
  <c r="H114" i="59"/>
  <c r="H55" i="59"/>
  <c r="G55" i="59"/>
  <c r="D174" i="59"/>
  <c r="G43" i="59"/>
  <c r="D162" i="59"/>
  <c r="H43" i="59"/>
  <c r="G20" i="59"/>
  <c r="H20" i="59"/>
  <c r="D139" i="59"/>
  <c r="H69" i="59"/>
  <c r="G69" i="59"/>
  <c r="D188" i="59"/>
  <c r="G53" i="59"/>
  <c r="D172" i="59"/>
  <c r="H53" i="59"/>
  <c r="D204" i="59"/>
  <c r="G85" i="59"/>
  <c r="H85" i="59"/>
  <c r="D180" i="59"/>
  <c r="H61" i="59"/>
  <c r="G61" i="59"/>
  <c r="D229" i="59"/>
  <c r="G110" i="59"/>
  <c r="H110" i="59"/>
  <c r="F42" i="59"/>
  <c r="G42" i="59"/>
  <c r="H42" i="59"/>
  <c r="D161" i="59"/>
  <c r="H14" i="59"/>
  <c r="G14" i="59"/>
  <c r="D133" i="59"/>
  <c r="H116" i="59"/>
  <c r="G116" i="59"/>
  <c r="D235" i="59"/>
  <c r="G94" i="59"/>
  <c r="H94" i="59"/>
  <c r="D213" i="59"/>
  <c r="H70" i="59"/>
  <c r="G70" i="59"/>
  <c r="D189" i="59"/>
  <c r="G97" i="59"/>
  <c r="H97" i="59"/>
  <c r="D216" i="59"/>
  <c r="H36" i="59"/>
  <c r="G36" i="59"/>
  <c r="D155" i="59"/>
  <c r="D163" i="59"/>
  <c r="G44" i="59"/>
  <c r="H44" i="59"/>
  <c r="H21" i="59"/>
  <c r="G21" i="59"/>
  <c r="D140" i="59"/>
  <c r="D148" i="59"/>
  <c r="H29" i="59"/>
  <c r="G29" i="59"/>
  <c r="D230" i="59"/>
  <c r="G111" i="59"/>
  <c r="H111" i="59"/>
  <c r="G74" i="59"/>
  <c r="D193" i="59"/>
  <c r="H74" i="59"/>
  <c r="G57" i="59"/>
  <c r="H57" i="59"/>
  <c r="D176" i="59"/>
  <c r="D137" i="59"/>
  <c r="H18" i="59"/>
  <c r="G18" i="59"/>
  <c r="H50" i="59"/>
  <c r="D169" i="59"/>
  <c r="G50" i="59"/>
  <c r="H108" i="59"/>
  <c r="D227" i="59"/>
  <c r="G108" i="59"/>
  <c r="G79" i="59"/>
  <c r="D198" i="59"/>
  <c r="H79" i="59"/>
  <c r="G26" i="59"/>
  <c r="H26" i="59"/>
  <c r="D145" i="59"/>
  <c r="G118" i="59"/>
  <c r="H118" i="59"/>
  <c r="D237" i="59"/>
  <c r="D187" i="59"/>
  <c r="H68" i="59"/>
  <c r="G68" i="59"/>
  <c r="D228" i="59"/>
  <c r="H109" i="59"/>
  <c r="G109" i="59"/>
  <c r="G9" i="59"/>
  <c r="D128" i="59"/>
  <c r="H9" i="59"/>
  <c r="G93" i="59"/>
  <c r="D212" i="59"/>
  <c r="H93" i="59"/>
  <c r="H27" i="59"/>
  <c r="G27" i="59"/>
  <c r="D146" i="59"/>
  <c r="G31" i="59"/>
  <c r="H31" i="59"/>
  <c r="D150" i="59"/>
  <c r="G115" i="59"/>
  <c r="D234" i="59"/>
  <c r="H115" i="59"/>
  <c r="H77" i="59"/>
  <c r="D196" i="59"/>
  <c r="G77" i="59"/>
  <c r="D147" i="59"/>
  <c r="G28" i="59"/>
  <c r="H28" i="59"/>
  <c r="G119" i="59"/>
  <c r="D238" i="59"/>
  <c r="H119" i="59"/>
  <c r="H58" i="59"/>
  <c r="G58" i="59"/>
  <c r="D177" i="59"/>
  <c r="H86" i="59"/>
  <c r="G86" i="59"/>
  <c r="D205" i="59"/>
  <c r="D182" i="59"/>
  <c r="H63" i="59"/>
  <c r="G63" i="59"/>
  <c r="D158" i="59"/>
  <c r="H39" i="59"/>
  <c r="G39" i="59"/>
  <c r="G127" i="59"/>
  <c r="F127" i="59"/>
  <c r="H64" i="59"/>
  <c r="G64" i="59"/>
  <c r="D183" i="59"/>
  <c r="I183" i="59" s="1"/>
  <c r="H120" i="59"/>
  <c r="G120" i="59"/>
  <c r="D239" i="59"/>
  <c r="G101" i="59"/>
  <c r="D220" i="59"/>
  <c r="H101" i="59"/>
  <c r="D207" i="59"/>
  <c r="G88" i="59"/>
  <c r="H88" i="59"/>
  <c r="H81" i="59"/>
  <c r="G81" i="59"/>
  <c r="D200" i="59"/>
  <c r="D224" i="59"/>
  <c r="H105" i="59"/>
  <c r="G105" i="59"/>
  <c r="H56" i="59"/>
  <c r="G56" i="59"/>
  <c r="D175" i="59"/>
  <c r="D209" i="59"/>
  <c r="H90" i="59"/>
  <c r="G90" i="59"/>
  <c r="D210" i="59"/>
  <c r="H91" i="59"/>
  <c r="G91" i="59"/>
  <c r="H100" i="59"/>
  <c r="G100" i="59"/>
  <c r="D219" i="59"/>
  <c r="H48" i="59"/>
  <c r="D167" i="59"/>
  <c r="G48" i="59"/>
  <c r="H49" i="59"/>
  <c r="D168" i="59"/>
  <c r="G49" i="59"/>
  <c r="D202" i="59"/>
  <c r="H83" i="59"/>
  <c r="G83" i="59"/>
  <c r="G52" i="59"/>
  <c r="H52" i="59"/>
  <c r="D171" i="59"/>
  <c r="G35" i="59"/>
  <c r="H35" i="59"/>
  <c r="D154" i="59"/>
  <c r="G117" i="59"/>
  <c r="H117" i="59"/>
  <c r="D236" i="59"/>
  <c r="D166" i="59"/>
  <c r="G47" i="59"/>
  <c r="H47" i="59"/>
  <c r="H103" i="59"/>
  <c r="G103" i="59"/>
  <c r="D222" i="59"/>
  <c r="D190" i="59"/>
  <c r="H71" i="59"/>
  <c r="G71" i="59"/>
  <c r="H78" i="59"/>
  <c r="G78" i="59"/>
  <c r="D197" i="59"/>
  <c r="G73" i="59"/>
  <c r="D192" i="59"/>
  <c r="H73" i="59"/>
  <c r="G13" i="59"/>
  <c r="H13" i="59"/>
  <c r="D132" i="59"/>
  <c r="G82" i="59"/>
  <c r="H82" i="59"/>
  <c r="D201" i="59"/>
  <c r="D144" i="59"/>
  <c r="G25" i="59"/>
  <c r="H25" i="59"/>
  <c r="G104" i="59"/>
  <c r="H104" i="59"/>
  <c r="D223" i="59"/>
  <c r="D136" i="59"/>
  <c r="H17" i="59"/>
  <c r="G17" i="59"/>
  <c r="D186" i="59"/>
  <c r="H67" i="59"/>
  <c r="G67" i="59"/>
  <c r="H10" i="59"/>
  <c r="G10" i="59"/>
  <c r="D129" i="59"/>
  <c r="H80" i="59"/>
  <c r="G80" i="59"/>
  <c r="D199" i="59"/>
  <c r="G95" i="59"/>
  <c r="H95" i="59"/>
  <c r="D214" i="59"/>
  <c r="H76" i="59"/>
  <c r="G76" i="59"/>
  <c r="D195" i="59"/>
  <c r="H102" i="59"/>
  <c r="G102" i="59"/>
  <c r="D221" i="59"/>
  <c r="D164" i="59"/>
  <c r="G45" i="59"/>
  <c r="H45" i="59"/>
  <c r="D141" i="59"/>
  <c r="G22" i="59"/>
  <c r="H22" i="59"/>
  <c r="E42" i="59"/>
  <c r="J42" i="59"/>
  <c r="I8" i="59"/>
  <c r="J35" i="59"/>
  <c r="E35" i="59"/>
  <c r="F35" i="59"/>
  <c r="J67" i="59"/>
  <c r="F67" i="59"/>
  <c r="E67" i="59"/>
  <c r="F18" i="59"/>
  <c r="J18" i="59"/>
  <c r="E18" i="59"/>
  <c r="F30" i="59"/>
  <c r="J30" i="59"/>
  <c r="E30" i="59"/>
  <c r="J13" i="59"/>
  <c r="E13" i="59"/>
  <c r="F13" i="59"/>
  <c r="F82" i="59"/>
  <c r="J82" i="59"/>
  <c r="E82" i="59"/>
  <c r="F49" i="59"/>
  <c r="J49" i="59"/>
  <c r="E49" i="59"/>
  <c r="E25" i="59"/>
  <c r="F25" i="59"/>
  <c r="J25" i="59"/>
  <c r="F52" i="59"/>
  <c r="J52" i="59"/>
  <c r="E52" i="59"/>
  <c r="J104" i="59"/>
  <c r="F104" i="59"/>
  <c r="E104" i="59"/>
  <c r="F17" i="59"/>
  <c r="E17" i="59"/>
  <c r="J17" i="59"/>
  <c r="F108" i="59"/>
  <c r="J108" i="59"/>
  <c r="E108" i="59"/>
  <c r="J78" i="59"/>
  <c r="E78" i="59"/>
  <c r="F78" i="59"/>
  <c r="F38" i="59"/>
  <c r="J38" i="59"/>
  <c r="E38" i="59"/>
  <c r="E91" i="59"/>
  <c r="F91" i="59"/>
  <c r="J91" i="59"/>
  <c r="E66" i="59"/>
  <c r="F66" i="59"/>
  <c r="J66" i="59"/>
  <c r="E11" i="59"/>
  <c r="F11" i="59"/>
  <c r="J11" i="59"/>
  <c r="F84" i="59"/>
  <c r="J84" i="59"/>
  <c r="E84" i="59"/>
  <c r="F27" i="59"/>
  <c r="J27" i="59"/>
  <c r="E27" i="59"/>
  <c r="E55" i="59"/>
  <c r="F55" i="59"/>
  <c r="J55" i="59"/>
  <c r="J69" i="59"/>
  <c r="F69" i="59"/>
  <c r="E69" i="59"/>
  <c r="J118" i="59"/>
  <c r="F118" i="59"/>
  <c r="E118" i="59"/>
  <c r="F62" i="59"/>
  <c r="J62" i="59"/>
  <c r="E62" i="59"/>
  <c r="E19" i="59"/>
  <c r="F19" i="59"/>
  <c r="J19" i="59"/>
  <c r="F32" i="59"/>
  <c r="J32" i="59"/>
  <c r="E32" i="59"/>
  <c r="J109" i="59"/>
  <c r="F109" i="59"/>
  <c r="E109" i="59"/>
  <c r="E33" i="59"/>
  <c r="F33" i="59"/>
  <c r="J33" i="59"/>
  <c r="J106" i="59"/>
  <c r="F106" i="59"/>
  <c r="E106" i="59"/>
  <c r="F93" i="59"/>
  <c r="J93" i="59"/>
  <c r="E93" i="59"/>
  <c r="F43" i="59"/>
  <c r="J43" i="59"/>
  <c r="E43" i="59"/>
  <c r="F72" i="59"/>
  <c r="J72" i="59"/>
  <c r="E72" i="59"/>
  <c r="E77" i="59"/>
  <c r="J77" i="59"/>
  <c r="F77" i="59"/>
  <c r="F61" i="59"/>
  <c r="E61" i="59"/>
  <c r="J61" i="59"/>
  <c r="F73" i="59"/>
  <c r="J73" i="59"/>
  <c r="E73" i="59"/>
  <c r="F75" i="59"/>
  <c r="J75" i="59"/>
  <c r="E75" i="59"/>
  <c r="F14" i="59"/>
  <c r="J14" i="59"/>
  <c r="E14" i="59"/>
  <c r="F94" i="59"/>
  <c r="J94" i="59"/>
  <c r="E94" i="59"/>
  <c r="F28" i="59"/>
  <c r="J28" i="59"/>
  <c r="E28" i="59"/>
  <c r="F97" i="59"/>
  <c r="J97" i="59"/>
  <c r="E97" i="59"/>
  <c r="F15" i="59"/>
  <c r="J15" i="59"/>
  <c r="E15" i="59"/>
  <c r="F64" i="59"/>
  <c r="J64" i="59"/>
  <c r="E64" i="59"/>
  <c r="E89" i="59"/>
  <c r="J89" i="59"/>
  <c r="F89" i="59"/>
  <c r="F74" i="59"/>
  <c r="J74" i="59"/>
  <c r="E74" i="59"/>
  <c r="J57" i="59"/>
  <c r="E57" i="59"/>
  <c r="F57" i="59"/>
  <c r="F50" i="59"/>
  <c r="J50" i="59"/>
  <c r="E50" i="59"/>
  <c r="J119" i="59"/>
  <c r="E119" i="59"/>
  <c r="F119" i="59"/>
  <c r="F58" i="59"/>
  <c r="J58" i="59"/>
  <c r="E58" i="59"/>
  <c r="F86" i="59"/>
  <c r="J86" i="59"/>
  <c r="E86" i="59"/>
  <c r="F63" i="59"/>
  <c r="J63" i="59"/>
  <c r="E63" i="59"/>
  <c r="F39" i="59"/>
  <c r="E39" i="59"/>
  <c r="J39" i="59"/>
  <c r="J10" i="59"/>
  <c r="E10" i="59"/>
  <c r="F10" i="59"/>
  <c r="F80" i="59"/>
  <c r="J80" i="59"/>
  <c r="E80" i="59"/>
  <c r="J117" i="59"/>
  <c r="F117" i="59"/>
  <c r="E117" i="59"/>
  <c r="F95" i="59"/>
  <c r="J95" i="59"/>
  <c r="E95" i="59"/>
  <c r="E98" i="59"/>
  <c r="F98" i="59"/>
  <c r="J98" i="59"/>
  <c r="F87" i="59"/>
  <c r="J87" i="59"/>
  <c r="E87" i="59"/>
  <c r="J100" i="59"/>
  <c r="E100" i="59"/>
  <c r="F100" i="59"/>
  <c r="F60" i="59"/>
  <c r="J60" i="59"/>
  <c r="E60" i="59"/>
  <c r="F48" i="59"/>
  <c r="J48" i="59"/>
  <c r="E48" i="59"/>
  <c r="E107" i="59"/>
  <c r="J107" i="59"/>
  <c r="F107" i="59"/>
  <c r="E76" i="59"/>
  <c r="F76" i="59"/>
  <c r="J76" i="59"/>
  <c r="J102" i="59"/>
  <c r="F102" i="59"/>
  <c r="E102" i="59"/>
  <c r="J45" i="59"/>
  <c r="F45" i="59"/>
  <c r="E45" i="59"/>
  <c r="E22" i="59"/>
  <c r="F22" i="59"/>
  <c r="J22" i="59"/>
  <c r="E113" i="59"/>
  <c r="F113" i="59"/>
  <c r="J113" i="59"/>
  <c r="J34" i="59"/>
  <c r="E34" i="59"/>
  <c r="F34" i="59"/>
  <c r="J103" i="59"/>
  <c r="F103" i="59"/>
  <c r="E103" i="59"/>
  <c r="J105" i="59"/>
  <c r="F105" i="59"/>
  <c r="E105" i="59"/>
  <c r="J56" i="59"/>
  <c r="E56" i="59"/>
  <c r="F56" i="59"/>
  <c r="F16" i="59"/>
  <c r="J16" i="59"/>
  <c r="E16" i="59"/>
  <c r="J90" i="59"/>
  <c r="E90" i="59"/>
  <c r="F90" i="59"/>
  <c r="E24" i="59"/>
  <c r="J24" i="59"/>
  <c r="F24" i="59"/>
  <c r="F96" i="59"/>
  <c r="J96" i="59"/>
  <c r="E96" i="59"/>
  <c r="J79" i="59"/>
  <c r="E79" i="59"/>
  <c r="F79" i="59"/>
  <c r="J40" i="59"/>
  <c r="F40" i="59"/>
  <c r="E40" i="59"/>
  <c r="F92" i="59"/>
  <c r="J92" i="59"/>
  <c r="E92" i="59"/>
  <c r="J26" i="59"/>
  <c r="F26" i="59"/>
  <c r="E26" i="59"/>
  <c r="J54" i="59"/>
  <c r="E54" i="59"/>
  <c r="F54" i="59"/>
  <c r="E68" i="59"/>
  <c r="F68" i="59"/>
  <c r="J68" i="59"/>
  <c r="F51" i="59"/>
  <c r="J51" i="59"/>
  <c r="E51" i="59"/>
  <c r="F9" i="59"/>
  <c r="J9" i="59"/>
  <c r="E9" i="59"/>
  <c r="F71" i="59"/>
  <c r="J71" i="59"/>
  <c r="E71" i="59"/>
  <c r="J31" i="59"/>
  <c r="E31" i="59"/>
  <c r="F31" i="59"/>
  <c r="F20" i="59"/>
  <c r="J20" i="59"/>
  <c r="E20" i="59"/>
  <c r="F53" i="59"/>
  <c r="E53" i="59"/>
  <c r="J53" i="59"/>
  <c r="E85" i="59"/>
  <c r="F85" i="59"/>
  <c r="J85" i="59"/>
  <c r="F110" i="59"/>
  <c r="E110" i="59"/>
  <c r="J110" i="59"/>
  <c r="J116" i="59"/>
  <c r="F116" i="59"/>
  <c r="E116" i="59"/>
  <c r="F83" i="59"/>
  <c r="E83" i="59"/>
  <c r="J83" i="59"/>
  <c r="F36" i="59"/>
  <c r="J36" i="59"/>
  <c r="E36" i="59"/>
  <c r="F44" i="59"/>
  <c r="J44" i="59"/>
  <c r="E44" i="59"/>
  <c r="F21" i="59"/>
  <c r="J21" i="59"/>
  <c r="E21" i="59"/>
  <c r="F29" i="59"/>
  <c r="J29" i="59"/>
  <c r="E29" i="59"/>
  <c r="J120" i="59"/>
  <c r="E120" i="59"/>
  <c r="F120" i="59"/>
  <c r="F37" i="59"/>
  <c r="J37" i="59"/>
  <c r="E37" i="59"/>
  <c r="J46" i="59"/>
  <c r="E46" i="59"/>
  <c r="F46" i="59"/>
  <c r="J101" i="59"/>
  <c r="E101" i="59"/>
  <c r="F101" i="59"/>
  <c r="E112" i="59"/>
  <c r="F112" i="59"/>
  <c r="J112" i="59"/>
  <c r="E99" i="59"/>
  <c r="F99" i="59"/>
  <c r="J99" i="59"/>
  <c r="F59" i="59"/>
  <c r="J59" i="59"/>
  <c r="E59" i="59"/>
  <c r="E88" i="59"/>
  <c r="F88" i="59"/>
  <c r="J88" i="59"/>
  <c r="E23" i="59"/>
  <c r="F23" i="59"/>
  <c r="J23" i="59"/>
  <c r="J12" i="59"/>
  <c r="E12" i="59"/>
  <c r="F12" i="59"/>
  <c r="F81" i="59"/>
  <c r="J81" i="59"/>
  <c r="E81" i="59"/>
  <c r="F47" i="59"/>
  <c r="J47" i="59"/>
  <c r="E47" i="59"/>
  <c r="F65" i="59"/>
  <c r="J65" i="59"/>
  <c r="E65" i="59"/>
  <c r="E41" i="59"/>
  <c r="F41" i="59"/>
  <c r="J41" i="59"/>
  <c r="F114" i="59"/>
  <c r="J114" i="59"/>
  <c r="E114" i="59"/>
  <c r="J115" i="59"/>
  <c r="F115" i="59"/>
  <c r="E115" i="59"/>
  <c r="I111" i="59" l="1"/>
  <c r="H230" i="59" s="1"/>
  <c r="H127" i="59"/>
  <c r="I42" i="59"/>
  <c r="H161" i="59" s="1"/>
  <c r="I70" i="59"/>
  <c r="H189" i="59" s="1"/>
  <c r="F236" i="59"/>
  <c r="G236" i="59"/>
  <c r="F228" i="59"/>
  <c r="G228" i="59"/>
  <c r="F176" i="59"/>
  <c r="G176" i="59"/>
  <c r="F208" i="59"/>
  <c r="G208" i="59"/>
  <c r="G201" i="59"/>
  <c r="F201" i="59"/>
  <c r="F210" i="59"/>
  <c r="G210" i="59"/>
  <c r="G183" i="59"/>
  <c r="F183" i="59"/>
  <c r="G147" i="59"/>
  <c r="F147" i="59"/>
  <c r="F180" i="59"/>
  <c r="G180" i="59"/>
  <c r="G153" i="59"/>
  <c r="F153" i="59"/>
  <c r="G137" i="59"/>
  <c r="F137" i="59"/>
  <c r="F214" i="59"/>
  <c r="G214" i="59"/>
  <c r="G152" i="59"/>
  <c r="F152" i="59"/>
  <c r="G159" i="59"/>
  <c r="F159" i="59"/>
  <c r="G149" i="59"/>
  <c r="F149" i="59"/>
  <c r="F143" i="59"/>
  <c r="G143" i="59"/>
  <c r="F154" i="59"/>
  <c r="G154" i="59"/>
  <c r="G196" i="59"/>
  <c r="F196" i="59"/>
  <c r="F187" i="59"/>
  <c r="G187" i="59"/>
  <c r="G215" i="59"/>
  <c r="F215" i="59"/>
  <c r="G131" i="59"/>
  <c r="F131" i="59"/>
  <c r="G173" i="59"/>
  <c r="F173" i="59"/>
  <c r="G189" i="59"/>
  <c r="F189" i="59"/>
  <c r="F132" i="59"/>
  <c r="G132" i="59"/>
  <c r="F209" i="59"/>
  <c r="G209" i="59"/>
  <c r="G237" i="59"/>
  <c r="F237" i="59"/>
  <c r="G193" i="59"/>
  <c r="F193" i="59"/>
  <c r="G204" i="59"/>
  <c r="F204" i="59"/>
  <c r="G184" i="59"/>
  <c r="F184" i="59"/>
  <c r="G171" i="59"/>
  <c r="F171" i="59"/>
  <c r="G172" i="59"/>
  <c r="F172" i="59"/>
  <c r="G145" i="59"/>
  <c r="F145" i="59"/>
  <c r="G194" i="59"/>
  <c r="F194" i="59"/>
  <c r="F226" i="59"/>
  <c r="G226" i="59"/>
  <c r="F178" i="59"/>
  <c r="G178" i="59"/>
  <c r="G216" i="59"/>
  <c r="F216" i="59"/>
  <c r="G175" i="59"/>
  <c r="F175" i="59"/>
  <c r="G234" i="59"/>
  <c r="F234" i="59"/>
  <c r="G129" i="59"/>
  <c r="F129" i="59"/>
  <c r="F192" i="59"/>
  <c r="G192" i="59"/>
  <c r="G158" i="59"/>
  <c r="F158" i="59"/>
  <c r="G150" i="59"/>
  <c r="F150" i="59"/>
  <c r="F230" i="59"/>
  <c r="G230" i="59"/>
  <c r="G235" i="59"/>
  <c r="F235" i="59"/>
  <c r="F188" i="59"/>
  <c r="G188" i="59"/>
  <c r="F179" i="59"/>
  <c r="G179" i="59"/>
  <c r="F142" i="59"/>
  <c r="G142" i="59"/>
  <c r="F166" i="59"/>
  <c r="G166" i="59"/>
  <c r="F170" i="59"/>
  <c r="G170" i="59"/>
  <c r="G203" i="59"/>
  <c r="F203" i="59"/>
  <c r="F156" i="59"/>
  <c r="G156" i="59"/>
  <c r="G197" i="59"/>
  <c r="F197" i="59"/>
  <c r="F224" i="59"/>
  <c r="G224" i="59"/>
  <c r="G151" i="59"/>
  <c r="F151" i="59"/>
  <c r="G202" i="59"/>
  <c r="F202" i="59"/>
  <c r="G200" i="59"/>
  <c r="F200" i="59"/>
  <c r="F182" i="59"/>
  <c r="G182" i="59"/>
  <c r="G146" i="59"/>
  <c r="F146" i="59"/>
  <c r="G198" i="59"/>
  <c r="F198" i="59"/>
  <c r="F148" i="59"/>
  <c r="G148" i="59"/>
  <c r="G133" i="59"/>
  <c r="F133" i="59"/>
  <c r="F139" i="59"/>
  <c r="G139" i="59"/>
  <c r="F225" i="59"/>
  <c r="G225" i="59"/>
  <c r="G205" i="59"/>
  <c r="F205" i="59"/>
  <c r="F140" i="59"/>
  <c r="G140" i="59"/>
  <c r="F160" i="59"/>
  <c r="G160" i="59"/>
  <c r="G218" i="59"/>
  <c r="F218" i="59"/>
  <c r="G195" i="59"/>
  <c r="F195" i="59"/>
  <c r="F186" i="59"/>
  <c r="G186" i="59"/>
  <c r="G168" i="59"/>
  <c r="F168" i="59"/>
  <c r="F232" i="59"/>
  <c r="G232" i="59"/>
  <c r="F185" i="59"/>
  <c r="G185" i="59"/>
  <c r="G134" i="59"/>
  <c r="F134" i="59"/>
  <c r="F144" i="59"/>
  <c r="G144" i="59"/>
  <c r="F141" i="59"/>
  <c r="G141" i="59"/>
  <c r="G227" i="59"/>
  <c r="F227" i="59"/>
  <c r="F161" i="59"/>
  <c r="G161" i="59"/>
  <c r="G157" i="59"/>
  <c r="F157" i="59"/>
  <c r="G190" i="59"/>
  <c r="F190" i="59"/>
  <c r="G177" i="59"/>
  <c r="F177" i="59"/>
  <c r="G212" i="59"/>
  <c r="F212" i="59"/>
  <c r="F162" i="59"/>
  <c r="G162" i="59"/>
  <c r="F231" i="59"/>
  <c r="G231" i="59"/>
  <c r="G130" i="59"/>
  <c r="F130" i="59"/>
  <c r="G136" i="59"/>
  <c r="F136" i="59"/>
  <c r="G222" i="59"/>
  <c r="F222" i="59"/>
  <c r="G167" i="59"/>
  <c r="F167" i="59"/>
  <c r="G217" i="59"/>
  <c r="F217" i="59"/>
  <c r="F207" i="59"/>
  <c r="G207" i="59"/>
  <c r="F164" i="59"/>
  <c r="G164" i="59"/>
  <c r="G223" i="59"/>
  <c r="F223" i="59"/>
  <c r="G169" i="59"/>
  <c r="F169" i="59"/>
  <c r="G163" i="59"/>
  <c r="F163" i="59"/>
  <c r="G174" i="59"/>
  <c r="F174" i="59"/>
  <c r="G135" i="59"/>
  <c r="F135" i="59"/>
  <c r="F165" i="59"/>
  <c r="G165" i="59"/>
  <c r="G221" i="59"/>
  <c r="F221" i="59"/>
  <c r="G219" i="59"/>
  <c r="F219" i="59"/>
  <c r="F220" i="59"/>
  <c r="G220" i="59"/>
  <c r="G128" i="59"/>
  <c r="F128" i="59"/>
  <c r="G155" i="59"/>
  <c r="F155" i="59"/>
  <c r="F181" i="59"/>
  <c r="G181" i="59"/>
  <c r="F206" i="59"/>
  <c r="G206" i="59"/>
  <c r="G233" i="59"/>
  <c r="F233" i="59"/>
  <c r="G199" i="59"/>
  <c r="F199" i="59"/>
  <c r="G213" i="59"/>
  <c r="F213" i="59"/>
  <c r="G238" i="59"/>
  <c r="F238" i="59"/>
  <c r="G239" i="59"/>
  <c r="F239" i="59"/>
  <c r="G229" i="59"/>
  <c r="F229" i="59"/>
  <c r="G211" i="59"/>
  <c r="F211" i="59"/>
  <c r="F138" i="59"/>
  <c r="G138" i="59"/>
  <c r="G191" i="59"/>
  <c r="F191" i="59"/>
  <c r="I100" i="59"/>
  <c r="H219" i="59" s="1"/>
  <c r="I117" i="59"/>
  <c r="H236" i="59" s="1"/>
  <c r="I86" i="59"/>
  <c r="H205" i="59" s="1"/>
  <c r="I53" i="59"/>
  <c r="H172" i="59" s="1"/>
  <c r="I44" i="59"/>
  <c r="H163" i="59" s="1"/>
  <c r="I114" i="59"/>
  <c r="H233" i="59" s="1"/>
  <c r="I99" i="59"/>
  <c r="H218" i="59" s="1"/>
  <c r="I36" i="59"/>
  <c r="H155" i="59" s="1"/>
  <c r="I96" i="59"/>
  <c r="H215" i="59" s="1"/>
  <c r="I54" i="59"/>
  <c r="H173" i="59" s="1"/>
  <c r="I60" i="59"/>
  <c r="H179" i="59" s="1"/>
  <c r="I77" i="59"/>
  <c r="H196" i="59" s="1"/>
  <c r="I89" i="59"/>
  <c r="H208" i="59" s="1"/>
  <c r="I19" i="59"/>
  <c r="H138" i="59" s="1"/>
  <c r="I118" i="59"/>
  <c r="H237" i="59" s="1"/>
  <c r="I32" i="59"/>
  <c r="H151" i="59" s="1"/>
  <c r="I102" i="59"/>
  <c r="H221" i="59" s="1"/>
  <c r="I59" i="59"/>
  <c r="H178" i="59" s="1"/>
  <c r="I33" i="59"/>
  <c r="H152" i="59" s="1"/>
  <c r="I83" i="59"/>
  <c r="H202" i="59" s="1"/>
  <c r="I103" i="59"/>
  <c r="H222" i="59" s="1"/>
  <c r="I35" i="59"/>
  <c r="H154" i="59" s="1"/>
  <c r="I115" i="59"/>
  <c r="H234" i="59" s="1"/>
  <c r="I76" i="59"/>
  <c r="H195" i="59" s="1"/>
  <c r="I87" i="59"/>
  <c r="H206" i="59" s="1"/>
  <c r="I97" i="59"/>
  <c r="H216" i="59" s="1"/>
  <c r="I74" i="59"/>
  <c r="H193" i="59" s="1"/>
  <c r="I37" i="59"/>
  <c r="H156" i="59" s="1"/>
  <c r="I107" i="59"/>
  <c r="H226" i="59" s="1"/>
  <c r="I73" i="59"/>
  <c r="H192" i="59" s="1"/>
  <c r="I93" i="59"/>
  <c r="H212" i="59" s="1"/>
  <c r="I85" i="59"/>
  <c r="H204" i="59" s="1"/>
  <c r="I28" i="59"/>
  <c r="H147" i="59" s="1"/>
  <c r="I98" i="59"/>
  <c r="H217" i="59" s="1"/>
  <c r="I106" i="59"/>
  <c r="H225" i="59" s="1"/>
  <c r="I27" i="59"/>
  <c r="H146" i="59" s="1"/>
  <c r="I112" i="59"/>
  <c r="H231" i="59" s="1"/>
  <c r="I105" i="59"/>
  <c r="H224" i="59" s="1"/>
  <c r="I95" i="59"/>
  <c r="H214" i="59" s="1"/>
  <c r="I34" i="59"/>
  <c r="H153" i="59" s="1"/>
  <c r="I72" i="59"/>
  <c r="H191" i="59" s="1"/>
  <c r="I75" i="59"/>
  <c r="H194" i="59" s="1"/>
  <c r="I63" i="59"/>
  <c r="H182" i="59" s="1"/>
  <c r="I20" i="59"/>
  <c r="H139" i="59" s="1"/>
  <c r="I11" i="59"/>
  <c r="H130" i="59" s="1"/>
  <c r="I108" i="59"/>
  <c r="H227" i="59" s="1"/>
  <c r="I9" i="59"/>
  <c r="H128" i="59" s="1"/>
  <c r="I39" i="59"/>
  <c r="H158" i="59" s="1"/>
  <c r="I40" i="59"/>
  <c r="H159" i="59" s="1"/>
  <c r="I69" i="59"/>
  <c r="H188" i="59" s="1"/>
  <c r="I92" i="59"/>
  <c r="H211" i="59" s="1"/>
  <c r="I104" i="59"/>
  <c r="H223" i="59" s="1"/>
  <c r="I52" i="59"/>
  <c r="H171" i="59" s="1"/>
  <c r="I78" i="59"/>
  <c r="H197" i="59" s="1"/>
  <c r="I30" i="59"/>
  <c r="H149" i="59" s="1"/>
  <c r="I43" i="59"/>
  <c r="H162" i="59" s="1"/>
  <c r="I25" i="59"/>
  <c r="H144" i="59" s="1"/>
  <c r="I18" i="59"/>
  <c r="H137" i="59" s="1"/>
  <c r="I68" i="59"/>
  <c r="H187" i="59" s="1"/>
  <c r="I31" i="59"/>
  <c r="H150" i="59" s="1"/>
  <c r="I21" i="59"/>
  <c r="H140" i="59" s="1"/>
  <c r="I66" i="59"/>
  <c r="H185" i="59" s="1"/>
  <c r="I46" i="59"/>
  <c r="H165" i="59" s="1"/>
  <c r="I116" i="59"/>
  <c r="H235" i="59" s="1"/>
  <c r="I56" i="59"/>
  <c r="H175" i="59" s="1"/>
  <c r="I45" i="59"/>
  <c r="H164" i="59" s="1"/>
  <c r="I119" i="59"/>
  <c r="H238" i="59" s="1"/>
  <c r="I64" i="59"/>
  <c r="H183" i="59" s="1"/>
  <c r="I61" i="59"/>
  <c r="H180" i="59" s="1"/>
  <c r="I81" i="59"/>
  <c r="H200" i="59" s="1"/>
  <c r="I57" i="59"/>
  <c r="H176" i="59" s="1"/>
  <c r="I47" i="59"/>
  <c r="H166" i="59" s="1"/>
  <c r="I109" i="59"/>
  <c r="H228" i="59" s="1"/>
  <c r="I58" i="59"/>
  <c r="H177" i="59" s="1"/>
  <c r="I71" i="59"/>
  <c r="H190" i="59" s="1"/>
  <c r="I17" i="59"/>
  <c r="H136" i="59" s="1"/>
  <c r="I110" i="59"/>
  <c r="H229" i="59" s="1"/>
  <c r="I49" i="59"/>
  <c r="H168" i="59" s="1"/>
  <c r="I10" i="59"/>
  <c r="H129" i="59" s="1"/>
  <c r="I41" i="59"/>
  <c r="H160" i="59" s="1"/>
  <c r="I38" i="59"/>
  <c r="H157" i="59" s="1"/>
  <c r="I80" i="59"/>
  <c r="H199" i="59" s="1"/>
  <c r="I79" i="59"/>
  <c r="H198" i="59" s="1"/>
  <c r="I113" i="59"/>
  <c r="H232" i="59" s="1"/>
  <c r="I12" i="59"/>
  <c r="H131" i="59" s="1"/>
  <c r="I67" i="59"/>
  <c r="H186" i="59" s="1"/>
  <c r="I24" i="59"/>
  <c r="H143" i="59" s="1"/>
  <c r="I48" i="59"/>
  <c r="H167" i="59" s="1"/>
  <c r="I84" i="59"/>
  <c r="H203" i="59" s="1"/>
  <c r="I26" i="59"/>
  <c r="H145" i="59" s="1"/>
  <c r="I22" i="59"/>
  <c r="H141" i="59" s="1"/>
  <c r="I82" i="59"/>
  <c r="H201" i="59" s="1"/>
  <c r="I23" i="59"/>
  <c r="H142" i="59" s="1"/>
  <c r="I101" i="59"/>
  <c r="H220" i="59" s="1"/>
  <c r="I50" i="59"/>
  <c r="H169" i="59" s="1"/>
  <c r="I15" i="59"/>
  <c r="H134" i="59" s="1"/>
  <c r="I62" i="59"/>
  <c r="H181" i="59" s="1"/>
  <c r="I13" i="59"/>
  <c r="H132" i="59" s="1"/>
  <c r="I16" i="59"/>
  <c r="H135" i="59" s="1"/>
  <c r="I55" i="59"/>
  <c r="H174" i="59" s="1"/>
  <c r="I91" i="59"/>
  <c r="H210" i="59" s="1"/>
  <c r="I120" i="59"/>
  <c r="H239" i="59" s="1"/>
  <c r="I94" i="59"/>
  <c r="H213" i="59" s="1"/>
  <c r="I14" i="59"/>
  <c r="H133" i="59" s="1"/>
  <c r="I90" i="59"/>
  <c r="H209" i="59" s="1"/>
  <c r="I65" i="59"/>
  <c r="H184" i="59" s="1"/>
  <c r="I88" i="59"/>
  <c r="H207" i="59" s="1"/>
  <c r="I29" i="59"/>
  <c r="H148" i="59" s="1"/>
  <c r="I51" i="59"/>
  <c r="H170" i="59" s="1"/>
  <c r="E149" i="52" a="1"/>
  <c r="E149" i="52" s="1"/>
  <c r="E21" i="52" a="1"/>
  <c r="E21" i="52" s="1"/>
  <c r="J21" i="52" s="1"/>
  <c r="J149" i="52" s="1"/>
  <c r="X127" i="59" l="1"/>
  <c r="T127" i="59"/>
  <c r="U127" i="59"/>
  <c r="R127" i="59"/>
  <c r="V127" i="59"/>
  <c r="Q127" i="59"/>
  <c r="W127" i="59"/>
  <c r="S127" i="59"/>
  <c r="V130" i="59"/>
  <c r="R130" i="59"/>
  <c r="S130" i="59"/>
  <c r="X130" i="59"/>
  <c r="Q130" i="59"/>
  <c r="T130" i="59"/>
  <c r="W130" i="59"/>
  <c r="U130" i="59"/>
  <c r="X143" i="59"/>
  <c r="R143" i="59"/>
  <c r="T143" i="59"/>
  <c r="W143" i="59"/>
  <c r="S143" i="59"/>
  <c r="U143" i="59"/>
  <c r="Q143" i="59"/>
  <c r="V143" i="59"/>
  <c r="V175" i="59"/>
  <c r="U175" i="59"/>
  <c r="Q175" i="59"/>
  <c r="R175" i="59"/>
  <c r="X175" i="59"/>
  <c r="T175" i="59"/>
  <c r="S175" i="59"/>
  <c r="W175" i="59"/>
  <c r="X182" i="59"/>
  <c r="V182" i="59"/>
  <c r="U182" i="59"/>
  <c r="S182" i="59"/>
  <c r="R182" i="59"/>
  <c r="Q182" i="59"/>
  <c r="T182" i="59"/>
  <c r="W182" i="59"/>
  <c r="W222" i="59"/>
  <c r="R222" i="59"/>
  <c r="X222" i="59"/>
  <c r="Q222" i="59"/>
  <c r="V222" i="59"/>
  <c r="U222" i="59"/>
  <c r="S222" i="59"/>
  <c r="T222" i="59"/>
  <c r="U235" i="59"/>
  <c r="Q235" i="59"/>
  <c r="T235" i="59"/>
  <c r="V235" i="59"/>
  <c r="W235" i="59"/>
  <c r="S235" i="59"/>
  <c r="X235" i="59"/>
  <c r="R235" i="59"/>
  <c r="R194" i="59"/>
  <c r="U194" i="59"/>
  <c r="S194" i="59"/>
  <c r="Q194" i="59"/>
  <c r="T194" i="59"/>
  <c r="W194" i="59"/>
  <c r="X194" i="59"/>
  <c r="V194" i="59"/>
  <c r="X202" i="59"/>
  <c r="W202" i="59"/>
  <c r="U202" i="59"/>
  <c r="S202" i="59"/>
  <c r="T202" i="59"/>
  <c r="V202" i="59"/>
  <c r="R202" i="59"/>
  <c r="Q202" i="59"/>
  <c r="W164" i="59"/>
  <c r="S164" i="59"/>
  <c r="U164" i="59"/>
  <c r="Q164" i="59"/>
  <c r="T164" i="59"/>
  <c r="X164" i="59"/>
  <c r="V164" i="59"/>
  <c r="R164" i="59"/>
  <c r="V131" i="59"/>
  <c r="W131" i="59"/>
  <c r="Q131" i="59"/>
  <c r="R131" i="59"/>
  <c r="T131" i="59"/>
  <c r="S131" i="59"/>
  <c r="X131" i="59"/>
  <c r="U131" i="59"/>
  <c r="W165" i="59"/>
  <c r="S165" i="59"/>
  <c r="U165" i="59"/>
  <c r="Q165" i="59"/>
  <c r="V165" i="59"/>
  <c r="T165" i="59"/>
  <c r="X165" i="59"/>
  <c r="R165" i="59"/>
  <c r="U191" i="59"/>
  <c r="Q191" i="59"/>
  <c r="T191" i="59"/>
  <c r="S191" i="59"/>
  <c r="W191" i="59"/>
  <c r="X191" i="59"/>
  <c r="R191" i="59"/>
  <c r="V191" i="59"/>
  <c r="V152" i="59"/>
  <c r="R152" i="59"/>
  <c r="X152" i="59"/>
  <c r="W152" i="59"/>
  <c r="U152" i="59"/>
  <c r="S152" i="59"/>
  <c r="T152" i="59"/>
  <c r="Q152" i="59"/>
  <c r="V186" i="59"/>
  <c r="R186" i="59"/>
  <c r="T186" i="59"/>
  <c r="X186" i="59"/>
  <c r="U186" i="59"/>
  <c r="S186" i="59"/>
  <c r="Q186" i="59"/>
  <c r="W186" i="59"/>
  <c r="S232" i="59"/>
  <c r="U232" i="59"/>
  <c r="W232" i="59"/>
  <c r="X232" i="59"/>
  <c r="V232" i="59"/>
  <c r="R232" i="59"/>
  <c r="T232" i="59"/>
  <c r="Q232" i="59"/>
  <c r="V185" i="59"/>
  <c r="R185" i="59"/>
  <c r="X185" i="59"/>
  <c r="T185" i="59"/>
  <c r="U185" i="59"/>
  <c r="S185" i="59"/>
  <c r="Q185" i="59"/>
  <c r="W185" i="59"/>
  <c r="V153" i="59"/>
  <c r="X153" i="59"/>
  <c r="U153" i="59"/>
  <c r="S153" i="59"/>
  <c r="W153" i="59"/>
  <c r="T153" i="59"/>
  <c r="Q153" i="59"/>
  <c r="R153" i="59"/>
  <c r="W178" i="59"/>
  <c r="S178" i="59"/>
  <c r="R178" i="59"/>
  <c r="V178" i="59"/>
  <c r="T178" i="59"/>
  <c r="Q178" i="59"/>
  <c r="X178" i="59"/>
  <c r="U178" i="59"/>
  <c r="U214" i="59"/>
  <c r="Q214" i="59"/>
  <c r="T214" i="59"/>
  <c r="V214" i="59"/>
  <c r="X214" i="59"/>
  <c r="R214" i="59"/>
  <c r="S214" i="59"/>
  <c r="W214" i="59"/>
  <c r="W221" i="59"/>
  <c r="X221" i="59"/>
  <c r="R221" i="59"/>
  <c r="Q221" i="59"/>
  <c r="V221" i="59"/>
  <c r="S221" i="59"/>
  <c r="T221" i="59"/>
  <c r="U221" i="59"/>
  <c r="W199" i="59"/>
  <c r="T199" i="59"/>
  <c r="S199" i="59"/>
  <c r="U199" i="59"/>
  <c r="V199" i="59"/>
  <c r="R199" i="59"/>
  <c r="Q199" i="59"/>
  <c r="X199" i="59"/>
  <c r="R150" i="59"/>
  <c r="U150" i="59"/>
  <c r="X150" i="59"/>
  <c r="V150" i="59"/>
  <c r="W150" i="59"/>
  <c r="Q150" i="59"/>
  <c r="S150" i="59"/>
  <c r="T150" i="59"/>
  <c r="X224" i="59"/>
  <c r="W224" i="59"/>
  <c r="T224" i="59"/>
  <c r="S224" i="59"/>
  <c r="Q224" i="59"/>
  <c r="V224" i="59"/>
  <c r="U224" i="59"/>
  <c r="R224" i="59"/>
  <c r="V151" i="59"/>
  <c r="R151" i="59"/>
  <c r="U151" i="59"/>
  <c r="T151" i="59"/>
  <c r="X151" i="59"/>
  <c r="W151" i="59"/>
  <c r="S151" i="59"/>
  <c r="Q151" i="59"/>
  <c r="T234" i="59"/>
  <c r="S234" i="59"/>
  <c r="Q234" i="59"/>
  <c r="W234" i="59"/>
  <c r="U234" i="59"/>
  <c r="X234" i="59"/>
  <c r="V234" i="59"/>
  <c r="R234" i="59"/>
  <c r="U148" i="59"/>
  <c r="Q148" i="59"/>
  <c r="T148" i="59"/>
  <c r="X148" i="59"/>
  <c r="R148" i="59"/>
  <c r="W148" i="59"/>
  <c r="S148" i="59"/>
  <c r="V148" i="59"/>
  <c r="U213" i="59"/>
  <c r="Q213" i="59"/>
  <c r="T213" i="59"/>
  <c r="R213" i="59"/>
  <c r="X213" i="59"/>
  <c r="V213" i="59"/>
  <c r="S213" i="59"/>
  <c r="W213" i="59"/>
  <c r="W157" i="59"/>
  <c r="V157" i="59"/>
  <c r="R157" i="59"/>
  <c r="T157" i="59"/>
  <c r="X157" i="59"/>
  <c r="U157" i="59"/>
  <c r="Q157" i="59"/>
  <c r="S157" i="59"/>
  <c r="V187" i="59"/>
  <c r="R187" i="59"/>
  <c r="X187" i="59"/>
  <c r="T187" i="59"/>
  <c r="W187" i="59"/>
  <c r="U187" i="59"/>
  <c r="S187" i="59"/>
  <c r="Q187" i="59"/>
  <c r="U231" i="59"/>
  <c r="W231" i="59"/>
  <c r="S231" i="59"/>
  <c r="X231" i="59"/>
  <c r="V231" i="59"/>
  <c r="R231" i="59"/>
  <c r="T231" i="59"/>
  <c r="Q231" i="59"/>
  <c r="U237" i="59"/>
  <c r="Q237" i="59"/>
  <c r="T237" i="59"/>
  <c r="V237" i="59"/>
  <c r="W237" i="59"/>
  <c r="S237" i="59"/>
  <c r="X237" i="59"/>
  <c r="R237" i="59"/>
  <c r="U170" i="59"/>
  <c r="Q170" i="59"/>
  <c r="T170" i="59"/>
  <c r="X170" i="59"/>
  <c r="W170" i="59"/>
  <c r="S170" i="59"/>
  <c r="R170" i="59"/>
  <c r="V170" i="59"/>
  <c r="V239" i="59"/>
  <c r="R239" i="59"/>
  <c r="W239" i="59"/>
  <c r="S239" i="59"/>
  <c r="Q239" i="59"/>
  <c r="T239" i="59"/>
  <c r="X239" i="59"/>
  <c r="X160" i="59"/>
  <c r="R160" i="59"/>
  <c r="T160" i="59"/>
  <c r="W160" i="59"/>
  <c r="Q160" i="59"/>
  <c r="U160" i="59"/>
  <c r="S160" i="59"/>
  <c r="V160" i="59"/>
  <c r="X137" i="59"/>
  <c r="V137" i="59"/>
  <c r="W137" i="59"/>
  <c r="U137" i="59"/>
  <c r="S137" i="59"/>
  <c r="Q137" i="59"/>
  <c r="R137" i="59"/>
  <c r="T137" i="59"/>
  <c r="T146" i="59"/>
  <c r="S146" i="59"/>
  <c r="U146" i="59"/>
  <c r="W146" i="59"/>
  <c r="R146" i="59"/>
  <c r="Q146" i="59"/>
  <c r="X146" i="59"/>
  <c r="V146" i="59"/>
  <c r="X138" i="59"/>
  <c r="W138" i="59"/>
  <c r="S138" i="59"/>
  <c r="Q138" i="59"/>
  <c r="U138" i="59"/>
  <c r="R138" i="59"/>
  <c r="V138" i="59"/>
  <c r="T138" i="59"/>
  <c r="Q184" i="59"/>
  <c r="V184" i="59"/>
  <c r="X184" i="59"/>
  <c r="T184" i="59"/>
  <c r="U184" i="59"/>
  <c r="S184" i="59"/>
  <c r="R184" i="59"/>
  <c r="W184" i="59"/>
  <c r="W133" i="59"/>
  <c r="Q133" i="59"/>
  <c r="V133" i="59"/>
  <c r="U133" i="59"/>
  <c r="S133" i="59"/>
  <c r="R133" i="59"/>
  <c r="T133" i="59"/>
  <c r="X133" i="59"/>
  <c r="V129" i="59"/>
  <c r="R129" i="59"/>
  <c r="X129" i="59"/>
  <c r="Q129" i="59"/>
  <c r="T129" i="59"/>
  <c r="S129" i="59"/>
  <c r="W129" i="59"/>
  <c r="U129" i="59"/>
  <c r="S144" i="59"/>
  <c r="R144" i="59"/>
  <c r="T144" i="59"/>
  <c r="X144" i="59"/>
  <c r="U144" i="59"/>
  <c r="Q144" i="59"/>
  <c r="W144" i="59"/>
  <c r="V144" i="59"/>
  <c r="X225" i="59"/>
  <c r="T225" i="59"/>
  <c r="W225" i="59"/>
  <c r="Q225" i="59"/>
  <c r="U225" i="59"/>
  <c r="S225" i="59"/>
  <c r="V225" i="59"/>
  <c r="R225" i="59"/>
  <c r="Q208" i="59"/>
  <c r="U208" i="59"/>
  <c r="V208" i="59"/>
  <c r="W208" i="59"/>
  <c r="T208" i="59"/>
  <c r="R208" i="59"/>
  <c r="X208" i="59"/>
  <c r="S208" i="59"/>
  <c r="W207" i="59"/>
  <c r="V207" i="59"/>
  <c r="R207" i="59"/>
  <c r="Q207" i="59"/>
  <c r="T207" i="59"/>
  <c r="X207" i="59"/>
  <c r="U207" i="59"/>
  <c r="S207" i="59"/>
  <c r="V174" i="59"/>
  <c r="R174" i="59"/>
  <c r="X174" i="59"/>
  <c r="U174" i="59"/>
  <c r="Q174" i="59"/>
  <c r="T174" i="59"/>
  <c r="S174" i="59"/>
  <c r="W174" i="59"/>
  <c r="V217" i="59"/>
  <c r="R217" i="59"/>
  <c r="W217" i="59"/>
  <c r="T217" i="59"/>
  <c r="X217" i="59"/>
  <c r="S217" i="59"/>
  <c r="Q217" i="59"/>
  <c r="U217" i="59"/>
  <c r="V196" i="59"/>
  <c r="R196" i="59"/>
  <c r="X196" i="59"/>
  <c r="Q196" i="59"/>
  <c r="U196" i="59"/>
  <c r="W196" i="59"/>
  <c r="T196" i="59"/>
  <c r="S196" i="59"/>
  <c r="S210" i="59"/>
  <c r="V210" i="59"/>
  <c r="W210" i="59"/>
  <c r="X210" i="59"/>
  <c r="Q210" i="59"/>
  <c r="R210" i="59"/>
  <c r="T210" i="59"/>
  <c r="U210" i="59"/>
  <c r="W135" i="59"/>
  <c r="U135" i="59"/>
  <c r="S135" i="59"/>
  <c r="Q135" i="59"/>
  <c r="R135" i="59"/>
  <c r="V135" i="59"/>
  <c r="X135" i="59"/>
  <c r="T135" i="59"/>
  <c r="U229" i="59"/>
  <c r="T229" i="59"/>
  <c r="S229" i="59"/>
  <c r="X229" i="59"/>
  <c r="V229" i="59"/>
  <c r="R229" i="59"/>
  <c r="W229" i="59"/>
  <c r="Q229" i="59"/>
  <c r="U149" i="59"/>
  <c r="Q149" i="59"/>
  <c r="T149" i="59"/>
  <c r="V149" i="59"/>
  <c r="W149" i="59"/>
  <c r="S149" i="59"/>
  <c r="R149" i="59"/>
  <c r="X149" i="59"/>
  <c r="U147" i="59"/>
  <c r="Q147" i="59"/>
  <c r="T147" i="59"/>
  <c r="S147" i="59"/>
  <c r="W147" i="59"/>
  <c r="X147" i="59"/>
  <c r="R147" i="59"/>
  <c r="V147" i="59"/>
  <c r="W179" i="59"/>
  <c r="S179" i="59"/>
  <c r="Q179" i="59"/>
  <c r="X179" i="59"/>
  <c r="V179" i="59"/>
  <c r="T179" i="59"/>
  <c r="R179" i="59"/>
  <c r="U179" i="59"/>
  <c r="W139" i="59"/>
  <c r="S139" i="59"/>
  <c r="U139" i="59"/>
  <c r="Q139" i="59"/>
  <c r="X139" i="59"/>
  <c r="V139" i="59"/>
  <c r="R139" i="59"/>
  <c r="T139" i="59"/>
  <c r="V162" i="59"/>
  <c r="S162" i="59"/>
  <c r="Q162" i="59"/>
  <c r="T162" i="59"/>
  <c r="W162" i="59"/>
  <c r="X162" i="59"/>
  <c r="R162" i="59"/>
  <c r="U162" i="59"/>
  <c r="V132" i="59"/>
  <c r="W132" i="59"/>
  <c r="Q132" i="59"/>
  <c r="R132" i="59"/>
  <c r="U132" i="59"/>
  <c r="S132" i="59"/>
  <c r="X132" i="59"/>
  <c r="T132" i="59"/>
  <c r="X136" i="59"/>
  <c r="W136" i="59"/>
  <c r="U136" i="59"/>
  <c r="Q136" i="59"/>
  <c r="S136" i="59"/>
  <c r="R136" i="59"/>
  <c r="V136" i="59"/>
  <c r="T136" i="59"/>
  <c r="V197" i="59"/>
  <c r="R197" i="59"/>
  <c r="X197" i="59"/>
  <c r="U197" i="59"/>
  <c r="S197" i="59"/>
  <c r="Q197" i="59"/>
  <c r="W197" i="59"/>
  <c r="T197" i="59"/>
  <c r="X204" i="59"/>
  <c r="W204" i="59"/>
  <c r="U204" i="59"/>
  <c r="T204" i="59"/>
  <c r="V204" i="59"/>
  <c r="R204" i="59"/>
  <c r="Q204" i="59"/>
  <c r="S204" i="59"/>
  <c r="V173" i="59"/>
  <c r="R173" i="59"/>
  <c r="T173" i="59"/>
  <c r="S173" i="59"/>
  <c r="W173" i="59"/>
  <c r="Q173" i="59"/>
  <c r="X173" i="59"/>
  <c r="U173" i="59"/>
  <c r="U154" i="59"/>
  <c r="T154" i="59"/>
  <c r="V154" i="59"/>
  <c r="X154" i="59"/>
  <c r="W154" i="59"/>
  <c r="S154" i="59"/>
  <c r="R154" i="59"/>
  <c r="Q154" i="59"/>
  <c r="V198" i="59"/>
  <c r="T198" i="59"/>
  <c r="U198" i="59"/>
  <c r="S198" i="59"/>
  <c r="W198" i="59"/>
  <c r="X198" i="59"/>
  <c r="R198" i="59"/>
  <c r="Q198" i="59"/>
  <c r="W223" i="59"/>
  <c r="X223" i="59"/>
  <c r="Q223" i="59"/>
  <c r="V223" i="59"/>
  <c r="T223" i="59"/>
  <c r="U223" i="59"/>
  <c r="S223" i="59"/>
  <c r="R223" i="59"/>
  <c r="U192" i="59"/>
  <c r="Q192" i="59"/>
  <c r="T192" i="59"/>
  <c r="W192" i="59"/>
  <c r="S192" i="59"/>
  <c r="X192" i="59"/>
  <c r="V192" i="59"/>
  <c r="R192" i="59"/>
  <c r="W155" i="59"/>
  <c r="T155" i="59"/>
  <c r="V155" i="59"/>
  <c r="U155" i="59"/>
  <c r="Q155" i="59"/>
  <c r="R155" i="59"/>
  <c r="S155" i="59"/>
  <c r="X155" i="59"/>
  <c r="T168" i="59"/>
  <c r="S168" i="59"/>
  <c r="R168" i="59"/>
  <c r="W168" i="59"/>
  <c r="X168" i="59"/>
  <c r="V168" i="59"/>
  <c r="Q168" i="59"/>
  <c r="U168" i="59"/>
  <c r="X226" i="59"/>
  <c r="R226" i="59"/>
  <c r="S226" i="59"/>
  <c r="U226" i="59"/>
  <c r="Q226" i="59"/>
  <c r="V226" i="59"/>
  <c r="W226" i="59"/>
  <c r="T226" i="59"/>
  <c r="V218" i="59"/>
  <c r="R218" i="59"/>
  <c r="W218" i="59"/>
  <c r="T218" i="59"/>
  <c r="X218" i="59"/>
  <c r="S218" i="59"/>
  <c r="Q218" i="59"/>
  <c r="U218" i="59"/>
  <c r="T212" i="59"/>
  <c r="S212" i="59"/>
  <c r="X212" i="59"/>
  <c r="V212" i="59"/>
  <c r="Q212" i="59"/>
  <c r="R212" i="59"/>
  <c r="W212" i="59"/>
  <c r="U212" i="59"/>
  <c r="W134" i="59"/>
  <c r="Q134" i="59"/>
  <c r="V134" i="59"/>
  <c r="U134" i="59"/>
  <c r="S134" i="59"/>
  <c r="R134" i="59"/>
  <c r="X134" i="59"/>
  <c r="T134" i="59"/>
  <c r="S211" i="59"/>
  <c r="V211" i="59"/>
  <c r="X211" i="59"/>
  <c r="Q211" i="59"/>
  <c r="T211" i="59"/>
  <c r="R211" i="59"/>
  <c r="W211" i="59"/>
  <c r="U211" i="59"/>
  <c r="S166" i="59"/>
  <c r="W166" i="59"/>
  <c r="Q166" i="59"/>
  <c r="U166" i="59"/>
  <c r="X166" i="59"/>
  <c r="R166" i="59"/>
  <c r="V166" i="59"/>
  <c r="T166" i="59"/>
  <c r="S188" i="59"/>
  <c r="V188" i="59"/>
  <c r="Q188" i="59"/>
  <c r="R188" i="59"/>
  <c r="X188" i="59"/>
  <c r="W188" i="59"/>
  <c r="U188" i="59"/>
  <c r="T188" i="59"/>
  <c r="W156" i="59"/>
  <c r="T156" i="59"/>
  <c r="V156" i="59"/>
  <c r="U156" i="59"/>
  <c r="Q156" i="59"/>
  <c r="S156" i="59"/>
  <c r="X156" i="59"/>
  <c r="R156" i="59"/>
  <c r="S233" i="59"/>
  <c r="Q233" i="59"/>
  <c r="W233" i="59"/>
  <c r="U233" i="59"/>
  <c r="X233" i="59"/>
  <c r="R233" i="59"/>
  <c r="T233" i="59"/>
  <c r="V233" i="59"/>
  <c r="V209" i="59"/>
  <c r="Q209" i="59"/>
  <c r="R209" i="59"/>
  <c r="W209" i="59"/>
  <c r="T209" i="59"/>
  <c r="U209" i="59"/>
  <c r="S209" i="59"/>
  <c r="X209" i="59"/>
  <c r="U171" i="59"/>
  <c r="Q171" i="59"/>
  <c r="T171" i="59"/>
  <c r="X171" i="59"/>
  <c r="S171" i="59"/>
  <c r="W171" i="59"/>
  <c r="R171" i="59"/>
  <c r="V171" i="59"/>
  <c r="V176" i="59"/>
  <c r="U176" i="59"/>
  <c r="R176" i="59"/>
  <c r="W176" i="59"/>
  <c r="S176" i="59"/>
  <c r="Q176" i="59"/>
  <c r="T176" i="59"/>
  <c r="X176" i="59"/>
  <c r="U193" i="59"/>
  <c r="Q193" i="59"/>
  <c r="T193" i="59"/>
  <c r="R193" i="59"/>
  <c r="V193" i="59"/>
  <c r="W193" i="59"/>
  <c r="S193" i="59"/>
  <c r="X193" i="59"/>
  <c r="Q163" i="59"/>
  <c r="U163" i="59"/>
  <c r="S163" i="59"/>
  <c r="V163" i="59"/>
  <c r="T163" i="59"/>
  <c r="X163" i="59"/>
  <c r="W163" i="59"/>
  <c r="R163" i="59"/>
  <c r="X181" i="59"/>
  <c r="S181" i="59"/>
  <c r="Q181" i="59"/>
  <c r="R181" i="59"/>
  <c r="U181" i="59"/>
  <c r="T181" i="59"/>
  <c r="W181" i="59"/>
  <c r="V181" i="59"/>
  <c r="W177" i="59"/>
  <c r="U177" i="59"/>
  <c r="T177" i="59"/>
  <c r="R177" i="59"/>
  <c r="Q177" i="59"/>
  <c r="X177" i="59"/>
  <c r="V177" i="59"/>
  <c r="S177" i="59"/>
  <c r="W201" i="59"/>
  <c r="U201" i="59"/>
  <c r="R201" i="59"/>
  <c r="S201" i="59"/>
  <c r="T201" i="59"/>
  <c r="Q201" i="59"/>
  <c r="X201" i="59"/>
  <c r="V201" i="59"/>
  <c r="X158" i="59"/>
  <c r="W158" i="59"/>
  <c r="Q158" i="59"/>
  <c r="V158" i="59"/>
  <c r="R158" i="59"/>
  <c r="T158" i="59"/>
  <c r="S158" i="59"/>
  <c r="U158" i="59"/>
  <c r="R216" i="59"/>
  <c r="U216" i="59"/>
  <c r="W216" i="59"/>
  <c r="Q216" i="59"/>
  <c r="V216" i="59"/>
  <c r="T216" i="59"/>
  <c r="X216" i="59"/>
  <c r="S216" i="59"/>
  <c r="R172" i="59"/>
  <c r="U172" i="59"/>
  <c r="T172" i="59"/>
  <c r="W172" i="59"/>
  <c r="S172" i="59"/>
  <c r="Q172" i="59"/>
  <c r="X172" i="59"/>
  <c r="V172" i="59"/>
  <c r="X203" i="59"/>
  <c r="U203" i="59"/>
  <c r="T203" i="59"/>
  <c r="W203" i="59"/>
  <c r="R203" i="59"/>
  <c r="S203" i="59"/>
  <c r="V203" i="59"/>
  <c r="Q203" i="59"/>
  <c r="T190" i="59"/>
  <c r="S190" i="59"/>
  <c r="W190" i="59"/>
  <c r="Q190" i="59"/>
  <c r="V190" i="59"/>
  <c r="U190" i="59"/>
  <c r="X190" i="59"/>
  <c r="R190" i="59"/>
  <c r="U169" i="59"/>
  <c r="Q169" i="59"/>
  <c r="T169" i="59"/>
  <c r="S169" i="59"/>
  <c r="X169" i="59"/>
  <c r="R169" i="59"/>
  <c r="W169" i="59"/>
  <c r="V169" i="59"/>
  <c r="X159" i="59"/>
  <c r="Q159" i="59"/>
  <c r="V159" i="59"/>
  <c r="R159" i="59"/>
  <c r="W159" i="59"/>
  <c r="S159" i="59"/>
  <c r="T159" i="59"/>
  <c r="U159" i="59"/>
  <c r="W200" i="59"/>
  <c r="X200" i="59"/>
  <c r="S200" i="59"/>
  <c r="U200" i="59"/>
  <c r="R200" i="59"/>
  <c r="Q200" i="59"/>
  <c r="V200" i="59"/>
  <c r="T200" i="59"/>
  <c r="W141" i="59"/>
  <c r="U141" i="59"/>
  <c r="S141" i="59"/>
  <c r="Q141" i="59"/>
  <c r="R141" i="59"/>
  <c r="X141" i="59"/>
  <c r="V141" i="59"/>
  <c r="T141" i="59"/>
  <c r="X180" i="59"/>
  <c r="W180" i="59"/>
  <c r="U180" i="59"/>
  <c r="S180" i="59"/>
  <c r="Q180" i="59"/>
  <c r="V180" i="59"/>
  <c r="R180" i="59"/>
  <c r="T180" i="59"/>
  <c r="R128" i="59"/>
  <c r="U128" i="59"/>
  <c r="V128" i="59"/>
  <c r="T128" i="59"/>
  <c r="Q128" i="59"/>
  <c r="X128" i="59"/>
  <c r="W128" i="59"/>
  <c r="S128" i="59"/>
  <c r="U206" i="59"/>
  <c r="W206" i="59"/>
  <c r="V206" i="59"/>
  <c r="R206" i="59"/>
  <c r="Q206" i="59"/>
  <c r="T206" i="59"/>
  <c r="S206" i="59"/>
  <c r="X206" i="59"/>
  <c r="X205" i="59"/>
  <c r="W205" i="59"/>
  <c r="S205" i="59"/>
  <c r="V205" i="59"/>
  <c r="R205" i="59"/>
  <c r="Q205" i="59"/>
  <c r="T205" i="59"/>
  <c r="U205" i="59"/>
  <c r="R238" i="59"/>
  <c r="U238" i="59"/>
  <c r="W238" i="59"/>
  <c r="S238" i="59"/>
  <c r="X238" i="59"/>
  <c r="V238" i="59"/>
  <c r="Q238" i="59"/>
  <c r="T238" i="59"/>
  <c r="U215" i="59"/>
  <c r="Q215" i="59"/>
  <c r="T215" i="59"/>
  <c r="X215" i="59"/>
  <c r="R215" i="59"/>
  <c r="V215" i="59"/>
  <c r="W215" i="59"/>
  <c r="S215" i="59"/>
  <c r="T142" i="59"/>
  <c r="W142" i="59"/>
  <c r="S142" i="59"/>
  <c r="U142" i="59"/>
  <c r="X142" i="59"/>
  <c r="R142" i="59"/>
  <c r="Q142" i="59"/>
  <c r="V142" i="59"/>
  <c r="S145" i="59"/>
  <c r="U145" i="59"/>
  <c r="Q145" i="59"/>
  <c r="R145" i="59"/>
  <c r="X145" i="59"/>
  <c r="W145" i="59"/>
  <c r="V145" i="59"/>
  <c r="T145" i="59"/>
  <c r="X183" i="59"/>
  <c r="V183" i="59"/>
  <c r="Q183" i="59"/>
  <c r="T183" i="59"/>
  <c r="U183" i="59"/>
  <c r="S183" i="59"/>
  <c r="R183" i="59"/>
  <c r="W183" i="59"/>
  <c r="X227" i="59"/>
  <c r="U227" i="59"/>
  <c r="S227" i="59"/>
  <c r="V227" i="59"/>
  <c r="Q227" i="59"/>
  <c r="R227" i="59"/>
  <c r="T227" i="59"/>
  <c r="W227" i="59"/>
  <c r="V195" i="59"/>
  <c r="R195" i="59"/>
  <c r="X195" i="59"/>
  <c r="S195" i="59"/>
  <c r="W195" i="59"/>
  <c r="Q195" i="59"/>
  <c r="U195" i="59"/>
  <c r="T195" i="59"/>
  <c r="U236" i="59"/>
  <c r="Q236" i="59"/>
  <c r="T236" i="59"/>
  <c r="V236" i="59"/>
  <c r="W236" i="59"/>
  <c r="S236" i="59"/>
  <c r="R236" i="59"/>
  <c r="X236" i="59"/>
  <c r="V219" i="59"/>
  <c r="S219" i="59"/>
  <c r="T219" i="59"/>
  <c r="R219" i="59"/>
  <c r="X219" i="59"/>
  <c r="Q219" i="59"/>
  <c r="U219" i="59"/>
  <c r="W219" i="59"/>
  <c r="U228" i="59"/>
  <c r="S228" i="59"/>
  <c r="X228" i="59"/>
  <c r="V228" i="59"/>
  <c r="W228" i="59"/>
  <c r="T228" i="59"/>
  <c r="R228" i="59"/>
  <c r="Q228" i="59"/>
  <c r="S189" i="59"/>
  <c r="V189" i="59"/>
  <c r="R189" i="59"/>
  <c r="W189" i="59"/>
  <c r="X189" i="59"/>
  <c r="U189" i="59"/>
  <c r="T189" i="59"/>
  <c r="Q189" i="59"/>
  <c r="W140" i="59"/>
  <c r="U140" i="59"/>
  <c r="S140" i="59"/>
  <c r="Q140" i="59"/>
  <c r="R140" i="59"/>
  <c r="X140" i="59"/>
  <c r="V140" i="59"/>
  <c r="T140" i="59"/>
  <c r="S167" i="59"/>
  <c r="U167" i="59"/>
  <c r="X167" i="59"/>
  <c r="R167" i="59"/>
  <c r="V167" i="59"/>
  <c r="T167" i="59"/>
  <c r="W167" i="59"/>
  <c r="Q167" i="59"/>
  <c r="X161" i="59"/>
  <c r="Q161" i="59"/>
  <c r="R161" i="59"/>
  <c r="T161" i="59"/>
  <c r="W161" i="59"/>
  <c r="S161" i="59"/>
  <c r="V161" i="59"/>
  <c r="U161" i="59"/>
  <c r="V220" i="59"/>
  <c r="S220" i="59"/>
  <c r="R220" i="59"/>
  <c r="T220" i="59"/>
  <c r="Q220" i="59"/>
  <c r="X220" i="59"/>
  <c r="W220" i="59"/>
  <c r="U220" i="59"/>
  <c r="X230" i="59"/>
  <c r="U230" i="59"/>
  <c r="S230" i="59"/>
  <c r="V230" i="59"/>
  <c r="W230" i="59"/>
  <c r="T230" i="59"/>
  <c r="Q230" i="59"/>
  <c r="R230" i="59"/>
  <c r="K21" i="52"/>
  <c r="G21" i="52"/>
  <c r="F21" i="52"/>
  <c r="E192" i="52"/>
  <c r="E191" i="52"/>
  <c r="E233" i="52"/>
  <c r="E232" i="52"/>
  <c r="E231" i="52"/>
  <c r="E214" i="52"/>
  <c r="E213" i="52"/>
  <c r="E212" i="52"/>
  <c r="E211" i="52"/>
  <c r="E210" i="52"/>
  <c r="E209" i="52"/>
  <c r="E190" i="52"/>
  <c r="E189" i="52"/>
  <c r="E258" i="52"/>
  <c r="E188" i="52"/>
  <c r="E257" i="52"/>
  <c r="E170" i="52"/>
  <c r="E256" i="52"/>
  <c r="E169" i="52"/>
  <c r="E255" i="52"/>
  <c r="E168" i="52"/>
  <c r="E254" i="52"/>
  <c r="E167" i="52"/>
  <c r="E253" i="52"/>
  <c r="E166" i="52"/>
  <c r="E236" i="52"/>
  <c r="E235" i="52"/>
  <c r="E234" i="52"/>
  <c r="E187" i="52"/>
  <c r="E165" i="52"/>
  <c r="E252" i="52"/>
  <c r="E230" i="52"/>
  <c r="E208" i="52"/>
  <c r="E186" i="52"/>
  <c r="E164" i="52"/>
  <c r="E251" i="52"/>
  <c r="E229" i="52"/>
  <c r="E207" i="52"/>
  <c r="E185" i="52"/>
  <c r="E163" i="52"/>
  <c r="E250" i="52"/>
  <c r="E228" i="52"/>
  <c r="E206" i="52"/>
  <c r="E184" i="52"/>
  <c r="E162" i="52"/>
  <c r="E249" i="52"/>
  <c r="E227" i="52"/>
  <c r="E205" i="52"/>
  <c r="E183" i="52"/>
  <c r="E161" i="52"/>
  <c r="E248" i="52"/>
  <c r="E226" i="52"/>
  <c r="E204" i="52"/>
  <c r="E182" i="52"/>
  <c r="E160" i="52"/>
  <c r="E247" i="52"/>
  <c r="E225" i="52"/>
  <c r="E203" i="52"/>
  <c r="E181" i="52"/>
  <c r="E159" i="52"/>
  <c r="E246" i="52"/>
  <c r="E224" i="52"/>
  <c r="E202" i="52"/>
  <c r="E180" i="52"/>
  <c r="E158" i="52"/>
  <c r="E245" i="52"/>
  <c r="E223" i="52"/>
  <c r="E201" i="52"/>
  <c r="E179" i="52"/>
  <c r="E157" i="52"/>
  <c r="E244" i="52"/>
  <c r="E222" i="52"/>
  <c r="E200" i="52"/>
  <c r="E178" i="52"/>
  <c r="E156" i="52"/>
  <c r="E243" i="52"/>
  <c r="E221" i="52"/>
  <c r="E199" i="52"/>
  <c r="E177" i="52"/>
  <c r="E155" i="52"/>
  <c r="E242" i="52"/>
  <c r="E220" i="52"/>
  <c r="E198" i="52"/>
  <c r="E176" i="52"/>
  <c r="E154" i="52"/>
  <c r="E241" i="52"/>
  <c r="E219" i="52"/>
  <c r="E197" i="52"/>
  <c r="E175" i="52"/>
  <c r="E153" i="52"/>
  <c r="E240" i="52"/>
  <c r="E218" i="52"/>
  <c r="E196" i="52"/>
  <c r="E174" i="52"/>
  <c r="E152" i="52"/>
  <c r="E261" i="52"/>
  <c r="E239" i="52"/>
  <c r="E217" i="52"/>
  <c r="E195" i="52"/>
  <c r="E173" i="52"/>
  <c r="E151" i="52"/>
  <c r="E260" i="52"/>
  <c r="E238" i="52"/>
  <c r="E216" i="52"/>
  <c r="E194" i="52"/>
  <c r="E172" i="52"/>
  <c r="E150" i="52"/>
  <c r="E259" i="52"/>
  <c r="E237" i="52"/>
  <c r="E215" i="52"/>
  <c r="E193" i="52"/>
  <c r="E171" i="52"/>
  <c r="E130" i="52"/>
  <c r="J130" i="52" s="1"/>
  <c r="J258" i="52" s="1"/>
  <c r="E64" i="52"/>
  <c r="J64" i="52" s="1"/>
  <c r="J192" i="52" s="1"/>
  <c r="E129" i="52"/>
  <c r="J129" i="52" s="1"/>
  <c r="J257" i="52" s="1"/>
  <c r="E85" i="52"/>
  <c r="J85" i="52" s="1"/>
  <c r="J213" i="52" s="1"/>
  <c r="E128" i="52"/>
  <c r="J128" i="52" s="1"/>
  <c r="J256" i="52" s="1"/>
  <c r="E62" i="52"/>
  <c r="J62" i="52" s="1"/>
  <c r="J190" i="52" s="1"/>
  <c r="E127" i="52"/>
  <c r="J127" i="52" s="1"/>
  <c r="J255" i="52" s="1"/>
  <c r="E61" i="52"/>
  <c r="J61" i="52" s="1"/>
  <c r="J189" i="52" s="1"/>
  <c r="E82" i="52"/>
  <c r="J82" i="52" s="1"/>
  <c r="J210" i="52" s="1"/>
  <c r="E81" i="52"/>
  <c r="J81" i="52" s="1"/>
  <c r="J209" i="52" s="1"/>
  <c r="E58" i="52"/>
  <c r="J58" i="52" s="1"/>
  <c r="J186" i="52" s="1"/>
  <c r="E101" i="52"/>
  <c r="J101" i="52" s="1"/>
  <c r="J229" i="52" s="1"/>
  <c r="E56" i="52"/>
  <c r="J56" i="52" s="1"/>
  <c r="J184" i="52" s="1"/>
  <c r="E99" i="52"/>
  <c r="J99" i="52" s="1"/>
  <c r="J227" i="52" s="1"/>
  <c r="E54" i="52"/>
  <c r="J54" i="52" s="1"/>
  <c r="J182" i="52" s="1"/>
  <c r="E75" i="52"/>
  <c r="J75" i="52" s="1"/>
  <c r="J203" i="52" s="1"/>
  <c r="E118" i="52"/>
  <c r="J118" i="52" s="1"/>
  <c r="J246" i="52" s="1"/>
  <c r="E52" i="52"/>
  <c r="J52" i="52" s="1"/>
  <c r="J180" i="52" s="1"/>
  <c r="E70" i="52"/>
  <c r="J70" i="52" s="1"/>
  <c r="J198" i="52" s="1"/>
  <c r="E108" i="52"/>
  <c r="J108" i="52" s="1"/>
  <c r="J236" i="52" s="1"/>
  <c r="E42" i="52"/>
  <c r="J42" i="52" s="1"/>
  <c r="J170" i="52" s="1"/>
  <c r="E107" i="52"/>
  <c r="J107" i="52" s="1"/>
  <c r="J235" i="52" s="1"/>
  <c r="E41" i="52"/>
  <c r="J41" i="52" s="1"/>
  <c r="J169" i="52" s="1"/>
  <c r="E84" i="52"/>
  <c r="J84" i="52" s="1"/>
  <c r="J212" i="52" s="1"/>
  <c r="E40" i="52"/>
  <c r="J40" i="52" s="1"/>
  <c r="J168" i="52" s="1"/>
  <c r="E105" i="52"/>
  <c r="J105" i="52" s="1"/>
  <c r="J233" i="52" s="1"/>
  <c r="E39" i="52"/>
  <c r="J39" i="52" s="1"/>
  <c r="J167" i="52" s="1"/>
  <c r="E104" i="52"/>
  <c r="J104" i="52" s="1"/>
  <c r="J232" i="52" s="1"/>
  <c r="E38" i="52"/>
  <c r="J38" i="52" s="1"/>
  <c r="J166" i="52" s="1"/>
  <c r="E103" i="52"/>
  <c r="J103" i="52" s="1"/>
  <c r="J231" i="52" s="1"/>
  <c r="E37" i="52"/>
  <c r="J37" i="52" s="1"/>
  <c r="J165" i="52" s="1"/>
  <c r="E124" i="52"/>
  <c r="J124" i="52" s="1"/>
  <c r="J252" i="52" s="1"/>
  <c r="E102" i="52"/>
  <c r="J102" i="52" s="1"/>
  <c r="J230" i="52" s="1"/>
  <c r="E36" i="52"/>
  <c r="J36" i="52" s="1"/>
  <c r="J164" i="52" s="1"/>
  <c r="E123" i="52"/>
  <c r="J123" i="52" s="1"/>
  <c r="J251" i="52" s="1"/>
  <c r="E79" i="52"/>
  <c r="J79" i="52" s="1"/>
  <c r="J207" i="52" s="1"/>
  <c r="E35" i="52"/>
  <c r="J35" i="52" s="1"/>
  <c r="J163" i="52" s="1"/>
  <c r="E100" i="52"/>
  <c r="J100" i="52" s="1"/>
  <c r="J228" i="52" s="1"/>
  <c r="E34" i="52"/>
  <c r="J34" i="52" s="1"/>
  <c r="J162" i="52" s="1"/>
  <c r="E77" i="52"/>
  <c r="J77" i="52" s="1"/>
  <c r="J205" i="52" s="1"/>
  <c r="E33" i="52"/>
  <c r="J33" i="52" s="1"/>
  <c r="J161" i="52" s="1"/>
  <c r="E120" i="52"/>
  <c r="J120" i="52" s="1"/>
  <c r="J248" i="52" s="1"/>
  <c r="E98" i="52"/>
  <c r="J98" i="52" s="1"/>
  <c r="J226" i="52" s="1"/>
  <c r="E76" i="52"/>
  <c r="J76" i="52" s="1"/>
  <c r="J204" i="52" s="1"/>
  <c r="E32" i="52"/>
  <c r="J32" i="52" s="1"/>
  <c r="J160" i="52" s="1"/>
  <c r="E119" i="52"/>
  <c r="J119" i="52" s="1"/>
  <c r="J247" i="52" s="1"/>
  <c r="E97" i="52"/>
  <c r="J97" i="52" s="1"/>
  <c r="J225" i="52" s="1"/>
  <c r="E53" i="52"/>
  <c r="J53" i="52" s="1"/>
  <c r="J181" i="52" s="1"/>
  <c r="E96" i="52"/>
  <c r="J96" i="52" s="1"/>
  <c r="J224" i="52" s="1"/>
  <c r="E30" i="52"/>
  <c r="J30" i="52" s="1"/>
  <c r="J158" i="52" s="1"/>
  <c r="E95" i="52"/>
  <c r="J95" i="52" s="1"/>
  <c r="J223" i="52" s="1"/>
  <c r="E51" i="52"/>
  <c r="J51" i="52" s="1"/>
  <c r="J179" i="52" s="1"/>
  <c r="E29" i="52"/>
  <c r="J29" i="52" s="1"/>
  <c r="J157" i="52" s="1"/>
  <c r="E116" i="52"/>
  <c r="J116" i="52" s="1"/>
  <c r="J244" i="52" s="1"/>
  <c r="E94" i="52"/>
  <c r="J94" i="52" s="1"/>
  <c r="J222" i="52" s="1"/>
  <c r="E72" i="52"/>
  <c r="J72" i="52" s="1"/>
  <c r="J200" i="52" s="1"/>
  <c r="E28" i="52"/>
  <c r="J28" i="52" s="1"/>
  <c r="J156" i="52" s="1"/>
  <c r="E115" i="52"/>
  <c r="J115" i="52" s="1"/>
  <c r="J243" i="52" s="1"/>
  <c r="E93" i="52"/>
  <c r="J93" i="52" s="1"/>
  <c r="J221" i="52" s="1"/>
  <c r="E71" i="52"/>
  <c r="J71" i="52" s="1"/>
  <c r="J199" i="52" s="1"/>
  <c r="E27" i="52"/>
  <c r="J27" i="52" s="1"/>
  <c r="J155" i="52" s="1"/>
  <c r="E92" i="52"/>
  <c r="J92" i="52" s="1"/>
  <c r="J220" i="52" s="1"/>
  <c r="E26" i="52"/>
  <c r="J26" i="52" s="1"/>
  <c r="J154" i="52" s="1"/>
  <c r="E113" i="52"/>
  <c r="J113" i="52" s="1"/>
  <c r="J241" i="52" s="1"/>
  <c r="E91" i="52"/>
  <c r="J91" i="52" s="1"/>
  <c r="J219" i="52" s="1"/>
  <c r="E47" i="52"/>
  <c r="J47" i="52" s="1"/>
  <c r="J175" i="52" s="1"/>
  <c r="E25" i="52"/>
  <c r="J25" i="52" s="1"/>
  <c r="J153" i="52" s="1"/>
  <c r="E112" i="52"/>
  <c r="J112" i="52" s="1"/>
  <c r="J240" i="52" s="1"/>
  <c r="E90" i="52"/>
  <c r="J90" i="52" s="1"/>
  <c r="J218" i="52" s="1"/>
  <c r="E68" i="52"/>
  <c r="J68" i="52" s="1"/>
  <c r="J196" i="52" s="1"/>
  <c r="E24" i="52"/>
  <c r="J24" i="52" s="1"/>
  <c r="J152" i="52" s="1"/>
  <c r="E111" i="52"/>
  <c r="J111" i="52" s="1"/>
  <c r="J239" i="52" s="1"/>
  <c r="E23" i="52"/>
  <c r="J23" i="52" s="1"/>
  <c r="J151" i="52" s="1"/>
  <c r="E132" i="52"/>
  <c r="J132" i="52" s="1"/>
  <c r="J260" i="52" s="1"/>
  <c r="E110" i="52"/>
  <c r="J110" i="52" s="1"/>
  <c r="J238" i="52" s="1"/>
  <c r="E88" i="52"/>
  <c r="J88" i="52" s="1"/>
  <c r="J216" i="52" s="1"/>
  <c r="E66" i="52"/>
  <c r="J66" i="52" s="1"/>
  <c r="J194" i="52" s="1"/>
  <c r="E44" i="52"/>
  <c r="J44" i="52" s="1"/>
  <c r="J172" i="52" s="1"/>
  <c r="E22" i="52"/>
  <c r="J22" i="52" s="1"/>
  <c r="J150" i="52" s="1"/>
  <c r="E86" i="52"/>
  <c r="J86" i="52" s="1"/>
  <c r="J214" i="52" s="1"/>
  <c r="E63" i="52"/>
  <c r="J63" i="52" s="1"/>
  <c r="J191" i="52" s="1"/>
  <c r="E106" i="52"/>
  <c r="J106" i="52" s="1"/>
  <c r="J234" i="52" s="1"/>
  <c r="E83" i="52"/>
  <c r="J83" i="52" s="1"/>
  <c r="J211" i="52" s="1"/>
  <c r="E126" i="52"/>
  <c r="J126" i="52" s="1"/>
  <c r="J254" i="52" s="1"/>
  <c r="E60" i="52"/>
  <c r="J60" i="52" s="1"/>
  <c r="J188" i="52" s="1"/>
  <c r="E125" i="52"/>
  <c r="J125" i="52" s="1"/>
  <c r="J253" i="52" s="1"/>
  <c r="E59" i="52"/>
  <c r="J59" i="52" s="1"/>
  <c r="J187" i="52" s="1"/>
  <c r="E80" i="52"/>
  <c r="J80" i="52" s="1"/>
  <c r="J208" i="52" s="1"/>
  <c r="E57" i="52"/>
  <c r="J57" i="52" s="1"/>
  <c r="J185" i="52" s="1"/>
  <c r="E122" i="52"/>
  <c r="J122" i="52" s="1"/>
  <c r="J250" i="52" s="1"/>
  <c r="E78" i="52"/>
  <c r="J78" i="52" s="1"/>
  <c r="J206" i="52" s="1"/>
  <c r="E121" i="52"/>
  <c r="J121" i="52" s="1"/>
  <c r="J249" i="52" s="1"/>
  <c r="E55" i="52"/>
  <c r="J55" i="52" s="1"/>
  <c r="J183" i="52" s="1"/>
  <c r="E31" i="52"/>
  <c r="J31" i="52" s="1"/>
  <c r="J159" i="52" s="1"/>
  <c r="E74" i="52"/>
  <c r="J74" i="52" s="1"/>
  <c r="J202" i="52" s="1"/>
  <c r="E117" i="52"/>
  <c r="J117" i="52" s="1"/>
  <c r="J245" i="52" s="1"/>
  <c r="E73" i="52"/>
  <c r="J73" i="52" s="1"/>
  <c r="J201" i="52" s="1"/>
  <c r="E50" i="52"/>
  <c r="J50" i="52" s="1"/>
  <c r="J178" i="52" s="1"/>
  <c r="E49" i="52"/>
  <c r="J49" i="52" s="1"/>
  <c r="J177" i="52" s="1"/>
  <c r="E114" i="52"/>
  <c r="J114" i="52" s="1"/>
  <c r="J242" i="52" s="1"/>
  <c r="E48" i="52"/>
  <c r="J48" i="52" s="1"/>
  <c r="J176" i="52" s="1"/>
  <c r="E69" i="52"/>
  <c r="J69" i="52" s="1"/>
  <c r="J197" i="52" s="1"/>
  <c r="E46" i="52"/>
  <c r="J46" i="52" s="1"/>
  <c r="J174" i="52" s="1"/>
  <c r="E133" i="52"/>
  <c r="J133" i="52" s="1"/>
  <c r="J261" i="52" s="1"/>
  <c r="E89" i="52"/>
  <c r="J89" i="52" s="1"/>
  <c r="J217" i="52" s="1"/>
  <c r="E67" i="52"/>
  <c r="J67" i="52" s="1"/>
  <c r="J195" i="52" s="1"/>
  <c r="E45" i="52"/>
  <c r="J45" i="52" s="1"/>
  <c r="J173" i="52" s="1"/>
  <c r="E131" i="52"/>
  <c r="J131" i="52" s="1"/>
  <c r="J259" i="52" s="1"/>
  <c r="E109" i="52"/>
  <c r="J109" i="52" s="1"/>
  <c r="J237" i="52" s="1"/>
  <c r="E87" i="52"/>
  <c r="J87" i="52" s="1"/>
  <c r="J215" i="52" s="1"/>
  <c r="E65" i="52"/>
  <c r="J65" i="52" s="1"/>
  <c r="J193" i="52" s="1"/>
  <c r="E43" i="52"/>
  <c r="J43" i="52" s="1"/>
  <c r="J171" i="52" s="1"/>
  <c r="J148" i="52" l="1"/>
  <c r="K149" i="52"/>
  <c r="K8" i="59" s="1"/>
  <c r="K127" i="59" s="1"/>
  <c r="K48" i="52"/>
  <c r="G48" i="52"/>
  <c r="F48" i="52"/>
  <c r="K56" i="52"/>
  <c r="G56" i="52"/>
  <c r="F56" i="52"/>
  <c r="K102" i="52"/>
  <c r="G102" i="52"/>
  <c r="F102" i="52"/>
  <c r="K79" i="52"/>
  <c r="G79" i="52"/>
  <c r="F79" i="52"/>
  <c r="G22" i="52"/>
  <c r="F22" i="52"/>
  <c r="K22" i="52"/>
  <c r="K36" i="52"/>
  <c r="G36" i="52"/>
  <c r="F36" i="52"/>
  <c r="K123" i="52"/>
  <c r="G123" i="52"/>
  <c r="F123" i="52"/>
  <c r="K58" i="52"/>
  <c r="K186" i="52" s="1"/>
  <c r="K45" i="59" s="1"/>
  <c r="K164" i="59" s="1"/>
  <c r="G58" i="52"/>
  <c r="F58" i="52"/>
  <c r="K124" i="52"/>
  <c r="G124" i="52"/>
  <c r="F124" i="52"/>
  <c r="F252" i="52" s="1"/>
  <c r="K29" i="52"/>
  <c r="G29" i="52"/>
  <c r="F29" i="52"/>
  <c r="K28" i="52"/>
  <c r="G28" i="52"/>
  <c r="F28" i="52"/>
  <c r="G66" i="52"/>
  <c r="F66" i="52"/>
  <c r="K66" i="52"/>
  <c r="K116" i="52"/>
  <c r="G116" i="52"/>
  <c r="F116" i="52"/>
  <c r="G110" i="52"/>
  <c r="F110" i="52"/>
  <c r="K110" i="52"/>
  <c r="K117" i="52"/>
  <c r="G117" i="52"/>
  <c r="F117" i="52"/>
  <c r="F61" i="52"/>
  <c r="K61" i="52"/>
  <c r="G61" i="52"/>
  <c r="K69" i="52"/>
  <c r="G69" i="52"/>
  <c r="F69" i="52"/>
  <c r="K114" i="52"/>
  <c r="G114" i="52"/>
  <c r="F114" i="52"/>
  <c r="K72" i="52"/>
  <c r="K200" i="52" s="1"/>
  <c r="K59" i="59" s="1"/>
  <c r="K178" i="59" s="1"/>
  <c r="G72" i="52"/>
  <c r="F72" i="52"/>
  <c r="G88" i="52"/>
  <c r="F88" i="52"/>
  <c r="K88" i="52"/>
  <c r="K23" i="52"/>
  <c r="G23" i="52"/>
  <c r="F23" i="52"/>
  <c r="F62" i="52"/>
  <c r="K62" i="52"/>
  <c r="G62" i="52"/>
  <c r="K115" i="52"/>
  <c r="G115" i="52"/>
  <c r="F115" i="52"/>
  <c r="K50" i="52"/>
  <c r="G50" i="52"/>
  <c r="F50" i="52"/>
  <c r="K81" i="52"/>
  <c r="G81" i="52"/>
  <c r="F81" i="52"/>
  <c r="K73" i="52"/>
  <c r="G73" i="52"/>
  <c r="F73" i="52"/>
  <c r="K37" i="52"/>
  <c r="G37" i="52"/>
  <c r="F37" i="52"/>
  <c r="K51" i="52"/>
  <c r="G51" i="52"/>
  <c r="F51" i="52"/>
  <c r="K38" i="52"/>
  <c r="G38" i="52"/>
  <c r="F38" i="52"/>
  <c r="K55" i="52"/>
  <c r="G55" i="52"/>
  <c r="F55" i="52"/>
  <c r="K96" i="52"/>
  <c r="G96" i="52"/>
  <c r="F96" i="52"/>
  <c r="F128" i="52"/>
  <c r="F256" i="52" s="1"/>
  <c r="K128" i="52"/>
  <c r="G128" i="52"/>
  <c r="K90" i="52"/>
  <c r="G90" i="52"/>
  <c r="F90" i="52"/>
  <c r="F40" i="52"/>
  <c r="K40" i="52"/>
  <c r="K168" i="52" s="1"/>
  <c r="K27" i="59" s="1"/>
  <c r="K146" i="59" s="1"/>
  <c r="G40" i="52"/>
  <c r="K112" i="52"/>
  <c r="G112" i="52"/>
  <c r="F112" i="52"/>
  <c r="G86" i="52"/>
  <c r="F86" i="52"/>
  <c r="K86" i="52"/>
  <c r="G44" i="52"/>
  <c r="F44" i="52"/>
  <c r="K44" i="52"/>
  <c r="K101" i="52"/>
  <c r="G101" i="52"/>
  <c r="F101" i="52"/>
  <c r="K82" i="52"/>
  <c r="G82" i="52"/>
  <c r="F82" i="52"/>
  <c r="G132" i="52"/>
  <c r="G260" i="52" s="1"/>
  <c r="F132" i="52"/>
  <c r="F260" i="52" s="1"/>
  <c r="C260" i="52" s="1"/>
  <c r="K132" i="52"/>
  <c r="K103" i="52"/>
  <c r="G103" i="52"/>
  <c r="F103" i="52"/>
  <c r="F127" i="52"/>
  <c r="F255" i="52" s="1"/>
  <c r="K127" i="52"/>
  <c r="G127" i="52"/>
  <c r="K31" i="52"/>
  <c r="G31" i="52"/>
  <c r="F31" i="52"/>
  <c r="F39" i="52"/>
  <c r="K39" i="52"/>
  <c r="G39" i="52"/>
  <c r="K53" i="52"/>
  <c r="K181" i="52" s="1"/>
  <c r="K40" i="59" s="1"/>
  <c r="K159" i="59" s="1"/>
  <c r="G53" i="52"/>
  <c r="F53" i="52"/>
  <c r="K99" i="52"/>
  <c r="G99" i="52"/>
  <c r="F99" i="52"/>
  <c r="K49" i="52"/>
  <c r="G49" i="52"/>
  <c r="F49" i="52"/>
  <c r="K94" i="52"/>
  <c r="G94" i="52"/>
  <c r="F94" i="52"/>
  <c r="K74" i="52"/>
  <c r="G74" i="52"/>
  <c r="F74" i="52"/>
  <c r="K95" i="52"/>
  <c r="G95" i="52"/>
  <c r="F95" i="52"/>
  <c r="K111" i="52"/>
  <c r="G111" i="52"/>
  <c r="F111" i="52"/>
  <c r="K30" i="52"/>
  <c r="G30" i="52"/>
  <c r="F30" i="52"/>
  <c r="K104" i="52"/>
  <c r="G104" i="52"/>
  <c r="F104" i="52"/>
  <c r="K24" i="52"/>
  <c r="G24" i="52"/>
  <c r="F24" i="52"/>
  <c r="K121" i="52"/>
  <c r="G121" i="52"/>
  <c r="F121" i="52"/>
  <c r="F105" i="52"/>
  <c r="K105" i="52"/>
  <c r="G105" i="52"/>
  <c r="F85" i="52"/>
  <c r="K85" i="52"/>
  <c r="G85" i="52"/>
  <c r="K78" i="52"/>
  <c r="G78" i="52"/>
  <c r="F78" i="52"/>
  <c r="F129" i="52"/>
  <c r="F257" i="52" s="1"/>
  <c r="C257" i="52" s="1"/>
  <c r="K129" i="52"/>
  <c r="G129" i="52"/>
  <c r="G257" i="52" s="1"/>
  <c r="K122" i="52"/>
  <c r="G122" i="52"/>
  <c r="F122" i="52"/>
  <c r="F84" i="52"/>
  <c r="K84" i="52"/>
  <c r="G84" i="52"/>
  <c r="G64" i="52"/>
  <c r="F64" i="52"/>
  <c r="K64" i="52"/>
  <c r="K68" i="52"/>
  <c r="G68" i="52"/>
  <c r="F68" i="52"/>
  <c r="K97" i="52"/>
  <c r="G97" i="52"/>
  <c r="F97" i="52"/>
  <c r="K119" i="52"/>
  <c r="G119" i="52"/>
  <c r="F119" i="52"/>
  <c r="F107" i="52"/>
  <c r="K107" i="52"/>
  <c r="G107" i="52"/>
  <c r="K45" i="52"/>
  <c r="G45" i="52"/>
  <c r="F45" i="52"/>
  <c r="K60" i="52"/>
  <c r="G60" i="52"/>
  <c r="F60" i="52"/>
  <c r="K33" i="52"/>
  <c r="G33" i="52"/>
  <c r="F33" i="52"/>
  <c r="K70" i="52"/>
  <c r="G70" i="52"/>
  <c r="F70" i="52"/>
  <c r="K67" i="52"/>
  <c r="G67" i="52"/>
  <c r="F67" i="52"/>
  <c r="K126" i="52"/>
  <c r="G126" i="52"/>
  <c r="F126" i="52"/>
  <c r="F254" i="52" s="1"/>
  <c r="K92" i="52"/>
  <c r="G92" i="52"/>
  <c r="F92" i="52"/>
  <c r="K77" i="52"/>
  <c r="G77" i="52"/>
  <c r="F77" i="52"/>
  <c r="K52" i="52"/>
  <c r="G52" i="52"/>
  <c r="F52" i="52"/>
  <c r="K89" i="52"/>
  <c r="G89" i="52"/>
  <c r="F89" i="52"/>
  <c r="K27" i="52"/>
  <c r="G27" i="52"/>
  <c r="F27" i="52"/>
  <c r="K118" i="52"/>
  <c r="G118" i="52"/>
  <c r="F118" i="52"/>
  <c r="K133" i="52"/>
  <c r="G133" i="52"/>
  <c r="G261" i="52" s="1"/>
  <c r="F133" i="52"/>
  <c r="F261" i="52" s="1"/>
  <c r="C261" i="52" s="1"/>
  <c r="F106" i="52"/>
  <c r="K106" i="52"/>
  <c r="G106" i="52"/>
  <c r="K71" i="52"/>
  <c r="G71" i="52"/>
  <c r="F71" i="52"/>
  <c r="K100" i="52"/>
  <c r="G100" i="52"/>
  <c r="F100" i="52"/>
  <c r="K75" i="52"/>
  <c r="G75" i="52"/>
  <c r="F75" i="52"/>
  <c r="G43" i="52"/>
  <c r="F43" i="52"/>
  <c r="K43" i="52"/>
  <c r="G65" i="52"/>
  <c r="F65" i="52"/>
  <c r="K65" i="52"/>
  <c r="K57" i="52"/>
  <c r="G57" i="52"/>
  <c r="F57" i="52"/>
  <c r="K25" i="52"/>
  <c r="G25" i="52"/>
  <c r="F25" i="52"/>
  <c r="K32" i="52"/>
  <c r="G32" i="52"/>
  <c r="F32" i="52"/>
  <c r="F41" i="52"/>
  <c r="K41" i="52"/>
  <c r="G41" i="52"/>
  <c r="G130" i="52"/>
  <c r="G258" i="52" s="1"/>
  <c r="F130" i="52"/>
  <c r="F258" i="52" s="1"/>
  <c r="C258" i="52" s="1"/>
  <c r="K130" i="52"/>
  <c r="G87" i="52"/>
  <c r="F87" i="52"/>
  <c r="K87" i="52"/>
  <c r="K80" i="52"/>
  <c r="G80" i="52"/>
  <c r="F80" i="52"/>
  <c r="K47" i="52"/>
  <c r="G47" i="52"/>
  <c r="F47" i="52"/>
  <c r="K76" i="52"/>
  <c r="G76" i="52"/>
  <c r="F76" i="52"/>
  <c r="G109" i="52"/>
  <c r="F109" i="52"/>
  <c r="K109" i="52"/>
  <c r="K59" i="52"/>
  <c r="G59" i="52"/>
  <c r="F59" i="52"/>
  <c r="K91" i="52"/>
  <c r="G91" i="52"/>
  <c r="F91" i="52"/>
  <c r="K98" i="52"/>
  <c r="G98" i="52"/>
  <c r="F98" i="52"/>
  <c r="G42" i="52"/>
  <c r="F42" i="52"/>
  <c r="K42" i="52"/>
  <c r="G131" i="52"/>
  <c r="G259" i="52" s="1"/>
  <c r="F131" i="52"/>
  <c r="F259" i="52" s="1"/>
  <c r="C259" i="52" s="1"/>
  <c r="K131" i="52"/>
  <c r="K125" i="52"/>
  <c r="G125" i="52"/>
  <c r="F125" i="52"/>
  <c r="F253" i="52" s="1"/>
  <c r="K113" i="52"/>
  <c r="G113" i="52"/>
  <c r="F113" i="52"/>
  <c r="K120" i="52"/>
  <c r="G120" i="52"/>
  <c r="F120" i="52"/>
  <c r="G108" i="52"/>
  <c r="F108" i="52"/>
  <c r="K108" i="52"/>
  <c r="K26" i="52"/>
  <c r="G26" i="52"/>
  <c r="F26" i="52"/>
  <c r="F83" i="52"/>
  <c r="K83" i="52"/>
  <c r="G83" i="52"/>
  <c r="K34" i="52"/>
  <c r="G34" i="52"/>
  <c r="F34" i="52"/>
  <c r="K46" i="52"/>
  <c r="G46" i="52"/>
  <c r="F46" i="52"/>
  <c r="F63" i="52"/>
  <c r="K63" i="52"/>
  <c r="G63" i="52"/>
  <c r="K93" i="52"/>
  <c r="G93" i="52"/>
  <c r="F93" i="52"/>
  <c r="K35" i="52"/>
  <c r="G35" i="52"/>
  <c r="F35" i="52"/>
  <c r="K54" i="52"/>
  <c r="G54" i="52"/>
  <c r="F54" i="52"/>
  <c r="K176" i="52"/>
  <c r="K35" i="59" s="1"/>
  <c r="K154" i="59" s="1"/>
  <c r="K184" i="52" l="1"/>
  <c r="K43" i="59" s="1"/>
  <c r="K162" i="59" s="1"/>
  <c r="K231" i="52"/>
  <c r="K90" i="59" s="1"/>
  <c r="K209" i="59" s="1"/>
  <c r="K194" i="52"/>
  <c r="K53" i="59" s="1"/>
  <c r="K172" i="59" s="1"/>
  <c r="K251" i="52"/>
  <c r="K110" i="59" s="1"/>
  <c r="K229" i="59" s="1"/>
  <c r="K225" i="52"/>
  <c r="K84" i="59" s="1"/>
  <c r="K203" i="59" s="1"/>
  <c r="K232" i="52"/>
  <c r="K91" i="59" s="1"/>
  <c r="K210" i="59" s="1"/>
  <c r="K214" i="52"/>
  <c r="K73" i="59" s="1"/>
  <c r="K192" i="59" s="1"/>
  <c r="K224" i="52"/>
  <c r="K83" i="59" s="1"/>
  <c r="K202" i="59" s="1"/>
  <c r="K238" i="52"/>
  <c r="K97" i="59" s="1"/>
  <c r="K216" i="59" s="1"/>
  <c r="K252" i="52"/>
  <c r="K111" i="59" s="1"/>
  <c r="K230" i="59" s="1"/>
  <c r="K174" i="52"/>
  <c r="K33" i="59" s="1"/>
  <c r="K152" i="59" s="1"/>
  <c r="K206" i="52"/>
  <c r="K65" i="59" s="1"/>
  <c r="K184" i="59" s="1"/>
  <c r="K177" i="52"/>
  <c r="K36" i="59" s="1"/>
  <c r="K155" i="59" s="1"/>
  <c r="K209" i="52"/>
  <c r="K68" i="59" s="1"/>
  <c r="K187" i="59" s="1"/>
  <c r="K230" i="52"/>
  <c r="K89" i="59" s="1"/>
  <c r="K208" i="59" s="1"/>
  <c r="K248" i="52"/>
  <c r="K107" i="59" s="1"/>
  <c r="K226" i="59" s="1"/>
  <c r="K201" i="52"/>
  <c r="K60" i="59" s="1"/>
  <c r="K179" i="59" s="1"/>
  <c r="K185" i="52"/>
  <c r="K44" i="59" s="1"/>
  <c r="K163" i="59" s="1"/>
  <c r="K219" i="52"/>
  <c r="K78" i="59" s="1"/>
  <c r="K197" i="59" s="1"/>
  <c r="K241" i="52"/>
  <c r="K100" i="59" s="1"/>
  <c r="K219" i="59" s="1"/>
  <c r="K162" i="52"/>
  <c r="K21" i="59" s="1"/>
  <c r="K140" i="59" s="1"/>
  <c r="K187" i="52"/>
  <c r="K46" i="59" s="1"/>
  <c r="K165" i="59" s="1"/>
  <c r="H264" i="59" s="1"/>
  <c r="K258" i="52"/>
  <c r="K117" i="59" s="1"/>
  <c r="K236" i="59" s="1"/>
  <c r="K205" i="52"/>
  <c r="K64" i="59" s="1"/>
  <c r="K183" i="59" s="1"/>
  <c r="K158" i="52"/>
  <c r="K17" i="59" s="1"/>
  <c r="K136" i="59" s="1"/>
  <c r="K183" i="52"/>
  <c r="K42" i="59" s="1"/>
  <c r="K161" i="59" s="1"/>
  <c r="K234" i="52"/>
  <c r="K93" i="59" s="1"/>
  <c r="K212" i="59" s="1"/>
  <c r="K193" i="52"/>
  <c r="K52" i="59" s="1"/>
  <c r="K171" i="59" s="1"/>
  <c r="K196" i="52"/>
  <c r="K55" i="59" s="1"/>
  <c r="K174" i="59" s="1"/>
  <c r="K213" i="52"/>
  <c r="K72" i="59" s="1"/>
  <c r="K191" i="59" s="1"/>
  <c r="K182" i="52"/>
  <c r="K41" i="59" s="1"/>
  <c r="K160" i="59" s="1"/>
  <c r="K253" i="52"/>
  <c r="K112" i="59" s="1"/>
  <c r="K231" i="59" s="1"/>
  <c r="K237" i="52"/>
  <c r="K96" i="59" s="1"/>
  <c r="K215" i="59" s="1"/>
  <c r="K171" i="52"/>
  <c r="K30" i="59" s="1"/>
  <c r="K149" i="59" s="1"/>
  <c r="K188" i="52"/>
  <c r="K47" i="59" s="1"/>
  <c r="K166" i="59" s="1"/>
  <c r="K192" i="52"/>
  <c r="K51" i="59" s="1"/>
  <c r="K170" i="59" s="1"/>
  <c r="K227" i="52"/>
  <c r="K86" i="59" s="1"/>
  <c r="K205" i="59" s="1"/>
  <c r="K260" i="52"/>
  <c r="K119" i="59" s="1"/>
  <c r="K238" i="59" s="1"/>
  <c r="K178" i="52"/>
  <c r="K37" i="59" s="1"/>
  <c r="K156" i="59" s="1"/>
  <c r="K244" i="52"/>
  <c r="K103" i="59" s="1"/>
  <c r="K222" i="59" s="1"/>
  <c r="K222" i="52"/>
  <c r="K81" i="59" s="1"/>
  <c r="K200" i="59" s="1"/>
  <c r="K211" i="52"/>
  <c r="K70" i="59" s="1"/>
  <c r="K189" i="59" s="1"/>
  <c r="K261" i="52"/>
  <c r="K120" i="59" s="1"/>
  <c r="K240" i="52"/>
  <c r="K99" i="59" s="1"/>
  <c r="K218" i="59" s="1"/>
  <c r="K216" i="52"/>
  <c r="K75" i="59" s="1"/>
  <c r="K194" i="59" s="1"/>
  <c r="K198" i="52"/>
  <c r="K57" i="59" s="1"/>
  <c r="K176" i="59" s="1"/>
  <c r="K161" i="52"/>
  <c r="K20" i="59" s="1"/>
  <c r="K139" i="59" s="1"/>
  <c r="K259" i="52"/>
  <c r="K118" i="59" s="1"/>
  <c r="K237" i="59" s="1"/>
  <c r="K166" i="52"/>
  <c r="K25" i="59" s="1"/>
  <c r="K144" i="59" s="1"/>
  <c r="K180" i="52"/>
  <c r="K39" i="59" s="1"/>
  <c r="K158" i="59" s="1"/>
  <c r="K173" i="52"/>
  <c r="K32" i="59" s="1"/>
  <c r="K151" i="59" s="1"/>
  <c r="K169" i="52"/>
  <c r="K28" i="59" s="1"/>
  <c r="K147" i="59" s="1"/>
  <c r="K220" i="52"/>
  <c r="K79" i="59" s="1"/>
  <c r="K198" i="59" s="1"/>
  <c r="K233" i="52"/>
  <c r="K92" i="59" s="1"/>
  <c r="K211" i="59" s="1"/>
  <c r="K239" i="52"/>
  <c r="K98" i="59" s="1"/>
  <c r="K217" i="59" s="1"/>
  <c r="K242" i="52"/>
  <c r="K101" i="59" s="1"/>
  <c r="K220" i="59" s="1"/>
  <c r="K163" i="52"/>
  <c r="K22" i="59" s="1"/>
  <c r="K141" i="59" s="1"/>
  <c r="K246" i="52"/>
  <c r="K105" i="59" s="1"/>
  <c r="K224" i="59" s="1"/>
  <c r="K243" i="52"/>
  <c r="K102" i="59" s="1"/>
  <c r="K221" i="59" s="1"/>
  <c r="K212" i="52"/>
  <c r="K71" i="59" s="1"/>
  <c r="K190" i="59" s="1"/>
  <c r="K204" i="52"/>
  <c r="K63" i="59" s="1"/>
  <c r="K182" i="59" s="1"/>
  <c r="K203" i="52"/>
  <c r="K62" i="59" s="1"/>
  <c r="K181" i="59" s="1"/>
  <c r="K254" i="52"/>
  <c r="K113" i="59" s="1"/>
  <c r="K232" i="59" s="1"/>
  <c r="K223" i="52"/>
  <c r="K82" i="59" s="1"/>
  <c r="K201" i="59" s="1"/>
  <c r="K210" i="52"/>
  <c r="K69" i="59" s="1"/>
  <c r="K188" i="59" s="1"/>
  <c r="K179" i="52"/>
  <c r="K38" i="59" s="1"/>
  <c r="K157" i="59" s="1"/>
  <c r="K164" i="52"/>
  <c r="K23" i="59" s="1"/>
  <c r="K142" i="59" s="1"/>
  <c r="K199" i="52"/>
  <c r="K58" i="59" s="1"/>
  <c r="K177" i="59" s="1"/>
  <c r="K167" i="52"/>
  <c r="K26" i="59" s="1"/>
  <c r="K145" i="59" s="1"/>
  <c r="K190" i="52"/>
  <c r="K49" i="59" s="1"/>
  <c r="K168" i="59" s="1"/>
  <c r="K197" i="52"/>
  <c r="K56" i="59" s="1"/>
  <c r="K175" i="59" s="1"/>
  <c r="K170" i="52"/>
  <c r="K29" i="59" s="1"/>
  <c r="K148" i="59" s="1"/>
  <c r="K154" i="52"/>
  <c r="K13" i="59" s="1"/>
  <c r="K132" i="59" s="1"/>
  <c r="K235" i="52"/>
  <c r="K94" i="59" s="1"/>
  <c r="K213" i="59" s="1"/>
  <c r="K221" i="52"/>
  <c r="K80" i="59" s="1"/>
  <c r="K199" i="59" s="1"/>
  <c r="K236" i="52"/>
  <c r="K95" i="59" s="1"/>
  <c r="K214" i="59" s="1"/>
  <c r="K160" i="52"/>
  <c r="K19" i="59" s="1"/>
  <c r="K155" i="52"/>
  <c r="K14" i="59" s="1"/>
  <c r="K133" i="59" s="1"/>
  <c r="K249" i="52"/>
  <c r="K108" i="59" s="1"/>
  <c r="K227" i="59" s="1"/>
  <c r="K156" i="52"/>
  <c r="K15" i="59" s="1"/>
  <c r="K134" i="59" s="1"/>
  <c r="K150" i="52"/>
  <c r="K9" i="59" s="1"/>
  <c r="K215" i="52"/>
  <c r="K74" i="59" s="1"/>
  <c r="K193" i="59" s="1"/>
  <c r="K218" i="52"/>
  <c r="K77" i="59" s="1"/>
  <c r="K196" i="59" s="1"/>
  <c r="K189" i="52"/>
  <c r="K48" i="59" s="1"/>
  <c r="K167" i="59" s="1"/>
  <c r="K207" i="52"/>
  <c r="K66" i="59" s="1"/>
  <c r="K185" i="59" s="1"/>
  <c r="K228" i="52"/>
  <c r="K87" i="59" s="1"/>
  <c r="K206" i="59" s="1"/>
  <c r="K250" i="52"/>
  <c r="K109" i="59" s="1"/>
  <c r="K228" i="59" s="1"/>
  <c r="K202" i="52"/>
  <c r="K61" i="59" s="1"/>
  <c r="K180" i="59" s="1"/>
  <c r="K229" i="52"/>
  <c r="K88" i="59" s="1"/>
  <c r="K207" i="59" s="1"/>
  <c r="K165" i="52"/>
  <c r="K24" i="59" s="1"/>
  <c r="K143" i="59" s="1"/>
  <c r="K245" i="52"/>
  <c r="K104" i="59" s="1"/>
  <c r="K223" i="59" s="1"/>
  <c r="K175" i="52"/>
  <c r="K34" i="59" s="1"/>
  <c r="K153" i="59" s="1"/>
  <c r="K195" i="52"/>
  <c r="K54" i="59" s="1"/>
  <c r="K173" i="59" s="1"/>
  <c r="K256" i="52"/>
  <c r="K115" i="59" s="1"/>
  <c r="K234" i="59" s="1"/>
  <c r="K208" i="52"/>
  <c r="K67" i="59" s="1"/>
  <c r="K186" i="59" s="1"/>
  <c r="K255" i="52"/>
  <c r="K114" i="59" s="1"/>
  <c r="K233" i="59" s="1"/>
  <c r="K191" i="52"/>
  <c r="K50" i="59" s="1"/>
  <c r="K169" i="59" s="1"/>
  <c r="K159" i="52"/>
  <c r="K18" i="59" s="1"/>
  <c r="K137" i="59" s="1"/>
  <c r="K172" i="52"/>
  <c r="K31" i="59" s="1"/>
  <c r="K150" i="59" s="1"/>
  <c r="K157" i="52"/>
  <c r="K16" i="59" s="1"/>
  <c r="K135" i="59" s="1"/>
  <c r="K226" i="52"/>
  <c r="K85" i="59" s="1"/>
  <c r="K204" i="59" s="1"/>
  <c r="K247" i="52"/>
  <c r="K106" i="59" s="1"/>
  <c r="K225" i="59" s="1"/>
  <c r="K153" i="52"/>
  <c r="K12" i="59" s="1"/>
  <c r="K131" i="59" s="1"/>
  <c r="K217" i="52"/>
  <c r="K76" i="59" s="1"/>
  <c r="K195" i="59" s="1"/>
  <c r="K257" i="52"/>
  <c r="K116" i="59" s="1"/>
  <c r="K235" i="59" s="1"/>
  <c r="K152" i="52"/>
  <c r="K11" i="59" s="1"/>
  <c r="K130" i="59" s="1"/>
  <c r="K151" i="52"/>
  <c r="K10" i="59" s="1"/>
  <c r="K129" i="59" s="1"/>
  <c r="C132" i="52"/>
  <c r="L148" i="52"/>
  <c r="C133" i="52"/>
  <c r="C129" i="52"/>
  <c r="C131" i="52"/>
  <c r="C130" i="52"/>
  <c r="H261" i="59" l="1"/>
  <c r="H262" i="59"/>
  <c r="H259" i="59"/>
  <c r="H258" i="59"/>
  <c r="H260" i="59"/>
  <c r="E252" i="59"/>
  <c r="K239" i="59"/>
  <c r="H265" i="59" s="1"/>
  <c r="K138" i="59"/>
  <c r="H263" i="59" s="1"/>
  <c r="K128" i="59"/>
  <c r="E253" i="59" s="1"/>
  <c r="K148" i="52"/>
  <c r="C259" i="59" l="1"/>
  <c r="I2" i="60" l="1" a="1"/>
  <c r="I2" i="60" s="1"/>
  <c r="I20" i="60" l="1"/>
  <c r="I19" i="60"/>
  <c r="I26" i="60"/>
  <c r="I36" i="60" s="1"/>
  <c r="I6" i="60"/>
  <c r="I7" i="60" s="1"/>
  <c r="I4" i="60"/>
  <c r="I17" i="60"/>
  <c r="I30" i="60" s="1"/>
  <c r="HH2" i="60"/>
  <c r="HH6" i="60" s="1"/>
  <c r="FL2" i="60"/>
  <c r="FL6" i="60" s="1"/>
  <c r="EF2" i="60"/>
  <c r="EF6" i="60" s="1"/>
  <c r="CB2" i="60"/>
  <c r="AF2" i="60"/>
  <c r="FS2" i="60"/>
  <c r="FS6" i="60" s="1"/>
  <c r="EE2" i="60"/>
  <c r="EE6" i="60" s="1"/>
  <c r="CI2" i="60"/>
  <c r="CA2" i="60"/>
  <c r="BS2" i="60"/>
  <c r="AE2" i="60"/>
  <c r="W2" i="60"/>
  <c r="O2" i="60"/>
  <c r="HF2" i="60"/>
  <c r="HF6" i="60" s="1"/>
  <c r="GX2" i="60"/>
  <c r="GX6" i="60" s="1"/>
  <c r="GP2" i="60"/>
  <c r="GP6" i="60" s="1"/>
  <c r="GH2" i="60"/>
  <c r="GH6" i="60" s="1"/>
  <c r="FZ2" i="60"/>
  <c r="FZ6" i="60" s="1"/>
  <c r="FR2" i="60"/>
  <c r="FR6" i="60" s="1"/>
  <c r="FJ2" i="60"/>
  <c r="FJ6" i="60" s="1"/>
  <c r="FB2" i="60"/>
  <c r="FB6" i="60" s="1"/>
  <c r="ET2" i="60"/>
  <c r="ET6" i="60" s="1"/>
  <c r="EL2" i="60"/>
  <c r="EL6" i="60" s="1"/>
  <c r="ED2" i="60"/>
  <c r="ED6" i="60" s="1"/>
  <c r="DV2" i="60"/>
  <c r="DV6" i="60" s="1"/>
  <c r="DN2" i="60"/>
  <c r="DF2" i="60"/>
  <c r="CX2" i="60"/>
  <c r="CP2" i="60"/>
  <c r="CH2" i="60"/>
  <c r="BZ2" i="60"/>
  <c r="BR2" i="60"/>
  <c r="BJ2" i="60"/>
  <c r="BB2" i="60"/>
  <c r="AT2" i="60"/>
  <c r="AL2" i="60"/>
  <c r="AD2" i="60"/>
  <c r="V2" i="60"/>
  <c r="N2" i="60"/>
  <c r="GJ2" i="60"/>
  <c r="GJ6" i="60" s="1"/>
  <c r="EV2" i="60"/>
  <c r="EV6" i="60" s="1"/>
  <c r="CZ2" i="60"/>
  <c r="BL2" i="60"/>
  <c r="AV2" i="60"/>
  <c r="EM2" i="60"/>
  <c r="EM6" i="60" s="1"/>
  <c r="FY2" i="60"/>
  <c r="FY6" i="60" s="1"/>
  <c r="CW2" i="60"/>
  <c r="BI2" i="60"/>
  <c r="AK2" i="60"/>
  <c r="M2" i="60"/>
  <c r="GR2" i="60"/>
  <c r="GR6" i="60" s="1"/>
  <c r="FD2" i="60"/>
  <c r="FD6" i="60" s="1"/>
  <c r="DP2" i="60"/>
  <c r="BT2" i="60"/>
  <c r="X2" i="60"/>
  <c r="GY2" i="60"/>
  <c r="GY6" i="60" s="1"/>
  <c r="FK2" i="60"/>
  <c r="FK6" i="60" s="1"/>
  <c r="DW2" i="60"/>
  <c r="DW6" i="60" s="1"/>
  <c r="CQ2" i="60"/>
  <c r="BK2" i="60"/>
  <c r="HE2" i="60"/>
  <c r="HE6" i="60" s="1"/>
  <c r="FQ2" i="60"/>
  <c r="FQ6" i="60" s="1"/>
  <c r="EK2" i="60"/>
  <c r="EK6" i="60" s="1"/>
  <c r="DE2" i="60"/>
  <c r="BQ2" i="60"/>
  <c r="U2" i="60"/>
  <c r="HL2" i="60"/>
  <c r="HL6" i="60" s="1"/>
  <c r="HD2" i="60"/>
  <c r="HD6" i="60" s="1"/>
  <c r="GV2" i="60"/>
  <c r="GV6" i="60" s="1"/>
  <c r="GN2" i="60"/>
  <c r="GN6" i="60" s="1"/>
  <c r="GF2" i="60"/>
  <c r="GF6" i="60" s="1"/>
  <c r="FX2" i="60"/>
  <c r="FX6" i="60" s="1"/>
  <c r="FP2" i="60"/>
  <c r="FP6" i="60" s="1"/>
  <c r="FH2" i="60"/>
  <c r="FH6" i="60" s="1"/>
  <c r="EZ2" i="60"/>
  <c r="EZ6" i="60" s="1"/>
  <c r="ER2" i="60"/>
  <c r="ER6" i="60" s="1"/>
  <c r="EJ2" i="60"/>
  <c r="EJ6" i="60" s="1"/>
  <c r="EB2" i="60"/>
  <c r="EB6" i="60" s="1"/>
  <c r="DT2" i="60"/>
  <c r="DT6" i="60" s="1"/>
  <c r="DL2" i="60"/>
  <c r="DD2" i="60"/>
  <c r="CV2" i="60"/>
  <c r="CN2" i="60"/>
  <c r="CF2" i="60"/>
  <c r="BX2" i="60"/>
  <c r="BP2" i="60"/>
  <c r="BH2" i="60"/>
  <c r="AZ2" i="60"/>
  <c r="AR2" i="60"/>
  <c r="AJ2" i="60"/>
  <c r="AB2" i="60"/>
  <c r="T2" i="60"/>
  <c r="L2" i="60"/>
  <c r="GZ2" i="60"/>
  <c r="GZ6" i="60" s="1"/>
  <c r="EN2" i="60"/>
  <c r="EN6" i="60" s="1"/>
  <c r="CR2" i="60"/>
  <c r="BD2" i="60"/>
  <c r="GI2" i="60"/>
  <c r="GI6" i="60" s="1"/>
  <c r="EU2" i="60"/>
  <c r="EU6" i="60" s="1"/>
  <c r="DO2" i="60"/>
  <c r="BC2" i="60"/>
  <c r="GW2" i="60"/>
  <c r="GW6" i="60" s="1"/>
  <c r="FI2" i="60"/>
  <c r="FI6" i="60" s="1"/>
  <c r="DM2" i="60"/>
  <c r="BY2" i="60"/>
  <c r="AC2" i="60"/>
  <c r="HK2" i="60"/>
  <c r="HK6" i="60" s="1"/>
  <c r="HC2" i="60"/>
  <c r="HC6" i="60" s="1"/>
  <c r="GU2" i="60"/>
  <c r="GU6" i="60" s="1"/>
  <c r="GM2" i="60"/>
  <c r="GM6" i="60" s="1"/>
  <c r="GE2" i="60"/>
  <c r="GE6" i="60" s="1"/>
  <c r="FW2" i="60"/>
  <c r="FW6" i="60" s="1"/>
  <c r="FO2" i="60"/>
  <c r="FO6" i="60" s="1"/>
  <c r="FG2" i="60"/>
  <c r="FG6" i="60" s="1"/>
  <c r="EY2" i="60"/>
  <c r="EY6" i="60" s="1"/>
  <c r="EQ2" i="60"/>
  <c r="EQ6" i="60" s="1"/>
  <c r="EI2" i="60"/>
  <c r="EI6" i="60" s="1"/>
  <c r="EA2" i="60"/>
  <c r="EA6" i="60" s="1"/>
  <c r="DS2" i="60"/>
  <c r="DS6" i="60" s="1"/>
  <c r="DK2" i="60"/>
  <c r="DC2" i="60"/>
  <c r="CU2" i="60"/>
  <c r="CM2" i="60"/>
  <c r="CE2" i="60"/>
  <c r="BW2" i="60"/>
  <c r="BO2" i="60"/>
  <c r="BG2" i="60"/>
  <c r="AY2" i="60"/>
  <c r="AQ2" i="60"/>
  <c r="AI2" i="60"/>
  <c r="AA2" i="60"/>
  <c r="S2" i="60"/>
  <c r="K2" i="60"/>
  <c r="FT2" i="60"/>
  <c r="FT6" i="60" s="1"/>
  <c r="DX2" i="60"/>
  <c r="DX6" i="60" s="1"/>
  <c r="CJ2" i="60"/>
  <c r="AN2" i="60"/>
  <c r="HG2" i="60"/>
  <c r="HG6" i="60" s="1"/>
  <c r="GA2" i="60"/>
  <c r="GA6" i="60" s="1"/>
  <c r="DG2" i="60"/>
  <c r="AM2" i="60"/>
  <c r="GO2" i="60"/>
  <c r="GO6" i="60" s="1"/>
  <c r="FA2" i="60"/>
  <c r="FA6" i="60" s="1"/>
  <c r="EC2" i="60"/>
  <c r="EC6" i="60" s="1"/>
  <c r="CO2" i="60"/>
  <c r="AS2" i="60"/>
  <c r="HJ2" i="60"/>
  <c r="HJ6" i="60" s="1"/>
  <c r="HB2" i="60"/>
  <c r="HB6" i="60" s="1"/>
  <c r="GT2" i="60"/>
  <c r="GT6" i="60" s="1"/>
  <c r="GL2" i="60"/>
  <c r="GL6" i="60" s="1"/>
  <c r="GD2" i="60"/>
  <c r="GD6" i="60" s="1"/>
  <c r="FV2" i="60"/>
  <c r="FV6" i="60" s="1"/>
  <c r="FN2" i="60"/>
  <c r="FN6" i="60" s="1"/>
  <c r="FF2" i="60"/>
  <c r="FF6" i="60" s="1"/>
  <c r="EX2" i="60"/>
  <c r="EX6" i="60" s="1"/>
  <c r="EP2" i="60"/>
  <c r="EP6" i="60" s="1"/>
  <c r="EH2" i="60"/>
  <c r="EH6" i="60" s="1"/>
  <c r="DZ2" i="60"/>
  <c r="DZ6" i="60" s="1"/>
  <c r="DR2" i="60"/>
  <c r="DR6" i="60" s="1"/>
  <c r="DJ2" i="60"/>
  <c r="DB2" i="60"/>
  <c r="CT2" i="60"/>
  <c r="CL2" i="60"/>
  <c r="CD2" i="60"/>
  <c r="BV2" i="60"/>
  <c r="BN2" i="60"/>
  <c r="BF2" i="60"/>
  <c r="AX2" i="60"/>
  <c r="AP2" i="60"/>
  <c r="AH2" i="60"/>
  <c r="Z2" i="60"/>
  <c r="R2" i="60"/>
  <c r="J2" i="60"/>
  <c r="GB2" i="60"/>
  <c r="GB6" i="60" s="1"/>
  <c r="DH2" i="60"/>
  <c r="P2" i="60"/>
  <c r="GQ2" i="60"/>
  <c r="GQ6" i="60" s="1"/>
  <c r="FC2" i="60"/>
  <c r="FC6" i="60" s="1"/>
  <c r="CY2" i="60"/>
  <c r="AU2" i="60"/>
  <c r="GG2" i="60"/>
  <c r="GG6" i="60" s="1"/>
  <c r="ES2" i="60"/>
  <c r="ES6" i="60" s="1"/>
  <c r="DU2" i="60"/>
  <c r="DU6" i="60" s="1"/>
  <c r="CG2" i="60"/>
  <c r="BA2" i="60"/>
  <c r="HI2" i="60"/>
  <c r="HI6" i="60" s="1"/>
  <c r="HA2" i="60"/>
  <c r="HA6" i="60" s="1"/>
  <c r="GS2" i="60"/>
  <c r="GS6" i="60" s="1"/>
  <c r="GK2" i="60"/>
  <c r="GK6" i="60" s="1"/>
  <c r="GC2" i="60"/>
  <c r="GC6" i="60" s="1"/>
  <c r="FU2" i="60"/>
  <c r="FU6" i="60" s="1"/>
  <c r="FM2" i="60"/>
  <c r="FM6" i="60" s="1"/>
  <c r="FE2" i="60"/>
  <c r="FE6" i="60" s="1"/>
  <c r="EW2" i="60"/>
  <c r="EW6" i="60" s="1"/>
  <c r="EO2" i="60"/>
  <c r="EO6" i="60" s="1"/>
  <c r="EG2" i="60"/>
  <c r="EG6" i="60" s="1"/>
  <c r="DY2" i="60"/>
  <c r="DY6" i="60" s="1"/>
  <c r="DQ2" i="60"/>
  <c r="DI2" i="60"/>
  <c r="DA2" i="60"/>
  <c r="CS2" i="60"/>
  <c r="CK2" i="60"/>
  <c r="CC2" i="60"/>
  <c r="BU2" i="60"/>
  <c r="BM2" i="60"/>
  <c r="BE2" i="60"/>
  <c r="AW2" i="60"/>
  <c r="AO2" i="60"/>
  <c r="AG2" i="60"/>
  <c r="Y2" i="60"/>
  <c r="Q2" i="60"/>
  <c r="DM20" i="60" l="1"/>
  <c r="DM19" i="60"/>
  <c r="BK19" i="60"/>
  <c r="BK20" i="60"/>
  <c r="AD20" i="60"/>
  <c r="AD19" i="60"/>
  <c r="AX20" i="60"/>
  <c r="AX19" i="60"/>
  <c r="CE19" i="60"/>
  <c r="CE20" i="60"/>
  <c r="CO19" i="60"/>
  <c r="CO20" i="60"/>
  <c r="BC19" i="60"/>
  <c r="BC20" i="60"/>
  <c r="O19" i="60"/>
  <c r="O20" i="60"/>
  <c r="Y19" i="60"/>
  <c r="Y20" i="60"/>
  <c r="BN20" i="60"/>
  <c r="BN19" i="60"/>
  <c r="CU20" i="60"/>
  <c r="CU19" i="60"/>
  <c r="DO19" i="60"/>
  <c r="DO20" i="60"/>
  <c r="BB19" i="60"/>
  <c r="BB20" i="60"/>
  <c r="W19" i="60"/>
  <c r="W20" i="60"/>
  <c r="BO19" i="60"/>
  <c r="BO20" i="60"/>
  <c r="X20" i="60"/>
  <c r="X19" i="60"/>
  <c r="BJ19" i="60"/>
  <c r="BJ20" i="60"/>
  <c r="AE19" i="60"/>
  <c r="AE20" i="60"/>
  <c r="AS19" i="60"/>
  <c r="AS20" i="60"/>
  <c r="DL20" i="60"/>
  <c r="DL19" i="60"/>
  <c r="AL20" i="60"/>
  <c r="AL19" i="60"/>
  <c r="BF20" i="60"/>
  <c r="BF19" i="60"/>
  <c r="CM20" i="60"/>
  <c r="CM19" i="60"/>
  <c r="AT19" i="60"/>
  <c r="AT20" i="60"/>
  <c r="AG19" i="60"/>
  <c r="AG20" i="60"/>
  <c r="AO19" i="60"/>
  <c r="AO20" i="60"/>
  <c r="CD20" i="60"/>
  <c r="CD19" i="60"/>
  <c r="AH20" i="60"/>
  <c r="AH19" i="60"/>
  <c r="Q20" i="60"/>
  <c r="Q19" i="60"/>
  <c r="BV19" i="60"/>
  <c r="BV20" i="60"/>
  <c r="BS19" i="60"/>
  <c r="BS20" i="60"/>
  <c r="AW19" i="60"/>
  <c r="AW20" i="60"/>
  <c r="BA20" i="60"/>
  <c r="BA19" i="60"/>
  <c r="CL19" i="60"/>
  <c r="CL20" i="60"/>
  <c r="AM19" i="60"/>
  <c r="AM20" i="60"/>
  <c r="CH20" i="60"/>
  <c r="CH19" i="60"/>
  <c r="CI19" i="60"/>
  <c r="CI20" i="60"/>
  <c r="DC19" i="60"/>
  <c r="DC20" i="60"/>
  <c r="DK19" i="60"/>
  <c r="DK20" i="60"/>
  <c r="BT19" i="60"/>
  <c r="BT20" i="60"/>
  <c r="BR20" i="60"/>
  <c r="BR19" i="60"/>
  <c r="BD20" i="60"/>
  <c r="BD19" i="60"/>
  <c r="DP19" i="60"/>
  <c r="DP20" i="60"/>
  <c r="BZ19" i="60"/>
  <c r="BZ20" i="60"/>
  <c r="CA20" i="60"/>
  <c r="CA19" i="60"/>
  <c r="BE20" i="60"/>
  <c r="BE19" i="60"/>
  <c r="CG20" i="60"/>
  <c r="CG19" i="60"/>
  <c r="CT20" i="60"/>
  <c r="CT19" i="60"/>
  <c r="DG19" i="60"/>
  <c r="DG20" i="60"/>
  <c r="CR20" i="60"/>
  <c r="CR19" i="60"/>
  <c r="BM19" i="60"/>
  <c r="BM20" i="60"/>
  <c r="DB20" i="60"/>
  <c r="DB19" i="60"/>
  <c r="CP20" i="60"/>
  <c r="CP19" i="60"/>
  <c r="M20" i="60"/>
  <c r="M19" i="60"/>
  <c r="CX19" i="60"/>
  <c r="CX20" i="60"/>
  <c r="AN20" i="60"/>
  <c r="AN19" i="60"/>
  <c r="L20" i="60"/>
  <c r="L19" i="60"/>
  <c r="AK20" i="60"/>
  <c r="AK19" i="60"/>
  <c r="DF20" i="60"/>
  <c r="DF19" i="60"/>
  <c r="AF20" i="60"/>
  <c r="AF19" i="60"/>
  <c r="DN20" i="60"/>
  <c r="DN19" i="60"/>
  <c r="AR20" i="60"/>
  <c r="AR19" i="60"/>
  <c r="BU19" i="60"/>
  <c r="BU20" i="60"/>
  <c r="DJ20" i="60"/>
  <c r="DJ19" i="60"/>
  <c r="CC19" i="60"/>
  <c r="CC20" i="60"/>
  <c r="AU19" i="60"/>
  <c r="AU20" i="60"/>
  <c r="T20" i="60"/>
  <c r="T19" i="60"/>
  <c r="CW20" i="60"/>
  <c r="CW19" i="60"/>
  <c r="DQ20" i="60"/>
  <c r="DQ19" i="60"/>
  <c r="P20" i="60"/>
  <c r="P19" i="60"/>
  <c r="AZ20" i="60"/>
  <c r="AZ19" i="60"/>
  <c r="U20" i="60"/>
  <c r="U19" i="60"/>
  <c r="AV20" i="60"/>
  <c r="AV19" i="60"/>
  <c r="CQ19" i="60"/>
  <c r="CQ20" i="60"/>
  <c r="BI20" i="60"/>
  <c r="BI19" i="60"/>
  <c r="S20" i="60"/>
  <c r="S19" i="60"/>
  <c r="DH20" i="60"/>
  <c r="DH19" i="60"/>
  <c r="AA19" i="60"/>
  <c r="AA20" i="60"/>
  <c r="BH20" i="60"/>
  <c r="BH19" i="60"/>
  <c r="BQ19" i="60"/>
  <c r="BQ20" i="60"/>
  <c r="BL20" i="60"/>
  <c r="BL19" i="60"/>
  <c r="CV20" i="60"/>
  <c r="CV19" i="60"/>
  <c r="BW19" i="60"/>
  <c r="BW20" i="60"/>
  <c r="CK19" i="60"/>
  <c r="CK20" i="60"/>
  <c r="CJ19" i="60"/>
  <c r="CJ20" i="60"/>
  <c r="DA20" i="60"/>
  <c r="DA19" i="60"/>
  <c r="AJ20" i="60"/>
  <c r="AJ19" i="60"/>
  <c r="AI19" i="60"/>
  <c r="AI20" i="60"/>
  <c r="BP19" i="60"/>
  <c r="BP20" i="60"/>
  <c r="DE20" i="60"/>
  <c r="DE19" i="60"/>
  <c r="CZ19" i="60"/>
  <c r="CZ20" i="60"/>
  <c r="V20" i="60"/>
  <c r="V19" i="60"/>
  <c r="AP20" i="60"/>
  <c r="AP19" i="60"/>
  <c r="CB20" i="60"/>
  <c r="CB19" i="60"/>
  <c r="CS20" i="60"/>
  <c r="CS19" i="60"/>
  <c r="CY19" i="60"/>
  <c r="CY20" i="60"/>
  <c r="AB19" i="60"/>
  <c r="AB20" i="60"/>
  <c r="DI19" i="60"/>
  <c r="DI20" i="60"/>
  <c r="AQ20" i="60"/>
  <c r="AQ19" i="60"/>
  <c r="BX20" i="60"/>
  <c r="BX19" i="60"/>
  <c r="DD20" i="60"/>
  <c r="DD19" i="60"/>
  <c r="K20" i="60"/>
  <c r="K19" i="60"/>
  <c r="J20" i="60"/>
  <c r="J19" i="60"/>
  <c r="R20" i="60"/>
  <c r="R19" i="60"/>
  <c r="AY19" i="60"/>
  <c r="AY20" i="60"/>
  <c r="AC19" i="60"/>
  <c r="AC20" i="60"/>
  <c r="CF20" i="60"/>
  <c r="CF19" i="60"/>
  <c r="Z20" i="60"/>
  <c r="Z19" i="60"/>
  <c r="BG20" i="60"/>
  <c r="BG19" i="60"/>
  <c r="BY20" i="60"/>
  <c r="BY19" i="60"/>
  <c r="CN20" i="60"/>
  <c r="CN19" i="60"/>
  <c r="N20" i="60"/>
  <c r="N19" i="60"/>
  <c r="I35" i="60"/>
  <c r="I21" i="60"/>
  <c r="BK26" i="60"/>
  <c r="BK36" i="60" s="1"/>
  <c r="I96" i="93" s="1"/>
  <c r="CQ26" i="60"/>
  <c r="CQ36" i="60" s="1"/>
  <c r="I38" i="93" s="1"/>
  <c r="AS26" i="60"/>
  <c r="AS36" i="60" s="1"/>
  <c r="I50" i="93" s="1"/>
  <c r="AL26" i="60"/>
  <c r="AL36" i="60" s="1"/>
  <c r="I51" i="93" s="1"/>
  <c r="BF26" i="60"/>
  <c r="BF36" i="60" s="1"/>
  <c r="I100" i="93" s="1"/>
  <c r="AT26" i="60"/>
  <c r="AT36" i="60" s="1"/>
  <c r="I55" i="93" s="1"/>
  <c r="CU26" i="60"/>
  <c r="CU36" i="60" s="1"/>
  <c r="I35" i="93" s="1"/>
  <c r="BA26" i="60"/>
  <c r="BA36" i="60" s="1"/>
  <c r="I95" i="93" s="1"/>
  <c r="CA26" i="60"/>
  <c r="CA36" i="60" s="1"/>
  <c r="CT26" i="60"/>
  <c r="CT36" i="60" s="1"/>
  <c r="I39" i="93" s="1"/>
  <c r="CR26" i="60"/>
  <c r="CR36" i="60" s="1"/>
  <c r="I36" i="93" s="1"/>
  <c r="BU26" i="60"/>
  <c r="BU36" i="60" s="1"/>
  <c r="I31" i="93" s="1"/>
  <c r="L26" i="60"/>
  <c r="L36" i="60" s="1"/>
  <c r="I47" i="93" s="1"/>
  <c r="CK26" i="60"/>
  <c r="CK36" i="60" s="1"/>
  <c r="CJ26" i="60"/>
  <c r="CJ36" i="60" s="1"/>
  <c r="T26" i="60"/>
  <c r="T36" i="60" s="1"/>
  <c r="BI26" i="60"/>
  <c r="BI36" i="60" s="1"/>
  <c r="I99" i="93" s="1"/>
  <c r="DN26" i="60"/>
  <c r="DN36" i="60" s="1"/>
  <c r="I86" i="93" s="1"/>
  <c r="CB26" i="60"/>
  <c r="CB36" i="60" s="1"/>
  <c r="CS26" i="60"/>
  <c r="CS36" i="60" s="1"/>
  <c r="I34" i="93" s="1"/>
  <c r="CY26" i="60"/>
  <c r="CY36" i="60" s="1"/>
  <c r="I70" i="93" s="1"/>
  <c r="AB26" i="60"/>
  <c r="AB36" i="60" s="1"/>
  <c r="CW26" i="60"/>
  <c r="CW36" i="60" s="1"/>
  <c r="I32" i="93" s="1"/>
  <c r="DA26" i="60"/>
  <c r="DA36" i="60" s="1"/>
  <c r="I73" i="93" s="1"/>
  <c r="AJ26" i="60"/>
  <c r="AJ36" i="60" s="1"/>
  <c r="BW26" i="60"/>
  <c r="BW36" i="60" s="1"/>
  <c r="I28" i="93" s="1"/>
  <c r="CM26" i="60"/>
  <c r="CM36" i="60" s="1"/>
  <c r="AG26" i="60"/>
  <c r="AG36" i="60" s="1"/>
  <c r="BR26" i="60"/>
  <c r="BR36" i="60" s="1"/>
  <c r="I25" i="93" s="1"/>
  <c r="AW26" i="60"/>
  <c r="AW36" i="60" s="1"/>
  <c r="I91" i="93" s="1"/>
  <c r="BM26" i="60"/>
  <c r="BM36" i="60" s="1"/>
  <c r="CP26" i="60"/>
  <c r="CP36" i="60" s="1"/>
  <c r="I33" i="93" s="1"/>
  <c r="CX26" i="60"/>
  <c r="CX36" i="60" s="1"/>
  <c r="I37" i="93" s="1"/>
  <c r="AN26" i="60"/>
  <c r="AN36" i="60" s="1"/>
  <c r="I54" i="93" s="1"/>
  <c r="AF26" i="60"/>
  <c r="AF36" i="60" s="1"/>
  <c r="DI26" i="60"/>
  <c r="DI36" i="60" s="1"/>
  <c r="I84" i="93" s="1"/>
  <c r="DH26" i="60"/>
  <c r="DH36" i="60" s="1"/>
  <c r="I79" i="93" s="1"/>
  <c r="V26" i="60"/>
  <c r="V36" i="60" s="1"/>
  <c r="AP26" i="60"/>
  <c r="AP36" i="60" s="1"/>
  <c r="I57" i="93" s="1"/>
  <c r="AD26" i="60"/>
  <c r="AD36" i="60" s="1"/>
  <c r="W26" i="60"/>
  <c r="W36" i="60" s="1"/>
  <c r="BS26" i="60"/>
  <c r="BS36" i="60" s="1"/>
  <c r="I30" i="93" s="1"/>
  <c r="AM26" i="60"/>
  <c r="AM36" i="60" s="1"/>
  <c r="I56" i="93" s="1"/>
  <c r="CH26" i="60"/>
  <c r="CH36" i="60" s="1"/>
  <c r="M26" i="60"/>
  <c r="M36" i="60" s="1"/>
  <c r="I45" i="93" s="1"/>
  <c r="DF26" i="60"/>
  <c r="DF36" i="60" s="1"/>
  <c r="I69" i="93" s="1"/>
  <c r="AU26" i="60"/>
  <c r="AU36" i="60" s="1"/>
  <c r="I88" i="93" s="1"/>
  <c r="S26" i="60"/>
  <c r="S36" i="60" s="1"/>
  <c r="I46" i="93" s="1"/>
  <c r="AZ26" i="60"/>
  <c r="AZ36" i="60" s="1"/>
  <c r="I90" i="93" s="1"/>
  <c r="AV26" i="60"/>
  <c r="AV36" i="60" s="1"/>
  <c r="I93" i="93" s="1"/>
  <c r="BH26" i="60"/>
  <c r="BH36" i="60" s="1"/>
  <c r="I103" i="93" s="1"/>
  <c r="AI26" i="60"/>
  <c r="AI36" i="60" s="1"/>
  <c r="BP26" i="60"/>
  <c r="BP36" i="60" s="1"/>
  <c r="I29" i="93" s="1"/>
  <c r="DE26" i="60"/>
  <c r="DE36" i="60" s="1"/>
  <c r="I77" i="93" s="1"/>
  <c r="CZ26" i="60"/>
  <c r="CZ36" i="60" s="1"/>
  <c r="I75" i="93" s="1"/>
  <c r="AH26" i="60"/>
  <c r="AH36" i="60" s="1"/>
  <c r="BO26" i="60"/>
  <c r="BO36" i="60" s="1"/>
  <c r="I24" i="93" s="1"/>
  <c r="DM26" i="60"/>
  <c r="DM36" i="60" s="1"/>
  <c r="I81" i="93" s="1"/>
  <c r="AX26" i="60"/>
  <c r="AX36" i="60" s="1"/>
  <c r="I89" i="93" s="1"/>
  <c r="DL26" i="60"/>
  <c r="DL36" i="60" s="1"/>
  <c r="I85" i="93" s="1"/>
  <c r="Q26" i="60"/>
  <c r="Q36" i="60" s="1"/>
  <c r="I49" i="93" s="1"/>
  <c r="BC26" i="60"/>
  <c r="BC36" i="60" s="1"/>
  <c r="I92" i="93" s="1"/>
  <c r="O26" i="60"/>
  <c r="O36" i="60" s="1"/>
  <c r="I48" i="93" s="1"/>
  <c r="BN26" i="60"/>
  <c r="BN36" i="60" s="1"/>
  <c r="DO26" i="60"/>
  <c r="DO36" i="60" s="1"/>
  <c r="I78" i="93" s="1"/>
  <c r="AE26" i="60"/>
  <c r="AE36" i="60" s="1"/>
  <c r="DP26" i="60"/>
  <c r="DP36" i="60" s="1"/>
  <c r="I83" i="93" s="1"/>
  <c r="CG26" i="60"/>
  <c r="CG36" i="60" s="1"/>
  <c r="DJ26" i="60"/>
  <c r="DJ36" i="60" s="1"/>
  <c r="I82" i="93" s="1"/>
  <c r="AK26" i="60"/>
  <c r="AK36" i="60" s="1"/>
  <c r="DQ26" i="60"/>
  <c r="DQ36" i="60" s="1"/>
  <c r="I105" i="93" s="1"/>
  <c r="AA26" i="60"/>
  <c r="AA36" i="60" s="1"/>
  <c r="BQ26" i="60"/>
  <c r="BQ36" i="60" s="1"/>
  <c r="I27" i="93" s="1"/>
  <c r="J26" i="60"/>
  <c r="J36" i="60" s="1"/>
  <c r="AQ26" i="60"/>
  <c r="AQ36" i="60" s="1"/>
  <c r="I53" i="93" s="1"/>
  <c r="BX26" i="60"/>
  <c r="BX36" i="60" s="1"/>
  <c r="CV26" i="60"/>
  <c r="CV36" i="60" s="1"/>
  <c r="I40" i="93" s="1"/>
  <c r="Y26" i="60"/>
  <c r="Y36" i="60" s="1"/>
  <c r="BB26" i="60"/>
  <c r="BB36" i="60" s="1"/>
  <c r="I87" i="93" s="1"/>
  <c r="BV26" i="60"/>
  <c r="BV36" i="60" s="1"/>
  <c r="I23" i="93" s="1"/>
  <c r="DC26" i="60"/>
  <c r="DC36" i="60" s="1"/>
  <c r="I76" i="93" s="1"/>
  <c r="X26" i="60"/>
  <c r="X36" i="60" s="1"/>
  <c r="DK26" i="60"/>
  <c r="DK36" i="60" s="1"/>
  <c r="I80" i="93" s="1"/>
  <c r="BT26" i="60"/>
  <c r="BT36" i="60" s="1"/>
  <c r="I26" i="93" s="1"/>
  <c r="CL26" i="60"/>
  <c r="CL36" i="60" s="1"/>
  <c r="BZ26" i="60"/>
  <c r="BZ36" i="60" s="1"/>
  <c r="BE26" i="60"/>
  <c r="BE36" i="60" s="1"/>
  <c r="I102" i="93" s="1"/>
  <c r="CI26" i="60"/>
  <c r="CI36" i="60" s="1"/>
  <c r="DB26" i="60"/>
  <c r="DB36" i="60" s="1"/>
  <c r="I71" i="93" s="1"/>
  <c r="CC26" i="60"/>
  <c r="CC36" i="60" s="1"/>
  <c r="K26" i="60"/>
  <c r="K36" i="60" s="1"/>
  <c r="I42" i="93" s="1"/>
  <c r="AR26" i="60"/>
  <c r="AR36" i="60" s="1"/>
  <c r="I58" i="93" s="1"/>
  <c r="P26" i="60"/>
  <c r="P36" i="60" s="1"/>
  <c r="I44" i="93" s="1"/>
  <c r="U26" i="60"/>
  <c r="U36" i="60" s="1"/>
  <c r="BL26" i="60"/>
  <c r="BL36" i="60" s="1"/>
  <c r="I101" i="93" s="1"/>
  <c r="R26" i="60"/>
  <c r="R36" i="60" s="1"/>
  <c r="I41" i="93" s="1"/>
  <c r="AY26" i="60"/>
  <c r="AY36" i="60" s="1"/>
  <c r="I94" i="93" s="1"/>
  <c r="AC26" i="60"/>
  <c r="AC36" i="60" s="1"/>
  <c r="CF26" i="60"/>
  <c r="CF36" i="60" s="1"/>
  <c r="DD26" i="60"/>
  <c r="DD36" i="60" s="1"/>
  <c r="I72" i="93" s="1"/>
  <c r="CE26" i="60"/>
  <c r="CE36" i="60" s="1"/>
  <c r="CO26" i="60"/>
  <c r="CO36" i="60" s="1"/>
  <c r="BJ26" i="60"/>
  <c r="BJ36" i="60" s="1"/>
  <c r="I104" i="93" s="1"/>
  <c r="AO26" i="60"/>
  <c r="AO36" i="60" s="1"/>
  <c r="I52" i="93" s="1"/>
  <c r="CD26" i="60"/>
  <c r="CD36" i="60" s="1"/>
  <c r="BD26" i="60"/>
  <c r="BD36" i="60" s="1"/>
  <c r="I97" i="93" s="1"/>
  <c r="DG26" i="60"/>
  <c r="DG36" i="60" s="1"/>
  <c r="I74" i="93" s="1"/>
  <c r="Z26" i="60"/>
  <c r="Z36" i="60" s="1"/>
  <c r="BG26" i="60"/>
  <c r="BG36" i="60" s="1"/>
  <c r="I98" i="93" s="1"/>
  <c r="BY26" i="60"/>
  <c r="BY36" i="60" s="1"/>
  <c r="CN26" i="60"/>
  <c r="CN36" i="60" s="1"/>
  <c r="N26" i="60"/>
  <c r="N36" i="60" s="1"/>
  <c r="I43" i="93" s="1"/>
  <c r="DQ6" i="60"/>
  <c r="DQ7" i="60" s="1"/>
  <c r="DQ4" i="60"/>
  <c r="DQ17" i="60"/>
  <c r="DQ30" i="60" s="1"/>
  <c r="P17" i="60"/>
  <c r="P30" i="60" s="1"/>
  <c r="P6" i="60"/>
  <c r="P7" i="60" s="1"/>
  <c r="P4" i="60"/>
  <c r="U17" i="60"/>
  <c r="U30" i="60" s="1"/>
  <c r="U4" i="60"/>
  <c r="U6" i="60"/>
  <c r="U7" i="60" s="1"/>
  <c r="AA4" i="60"/>
  <c r="AA6" i="60"/>
  <c r="AA7" i="60" s="1"/>
  <c r="AA17" i="60"/>
  <c r="AA30" i="60" s="1"/>
  <c r="BH17" i="60"/>
  <c r="BH30" i="60" s="1"/>
  <c r="BH6" i="60"/>
  <c r="BH7" i="60" s="1"/>
  <c r="BH4" i="60"/>
  <c r="BQ4" i="60"/>
  <c r="BQ6" i="60"/>
  <c r="BQ7" i="60" s="1"/>
  <c r="BQ17" i="60"/>
  <c r="BQ30" i="60" s="1"/>
  <c r="BL17" i="60"/>
  <c r="BL30" i="60" s="1"/>
  <c r="BL4" i="60"/>
  <c r="BL6" i="60"/>
  <c r="BL7" i="60" s="1"/>
  <c r="AI17" i="60"/>
  <c r="AI30" i="60" s="1"/>
  <c r="AI6" i="60"/>
  <c r="AI7" i="60" s="1"/>
  <c r="AI4" i="60"/>
  <c r="BP6" i="60"/>
  <c r="BP7" i="60" s="1"/>
  <c r="BP4" i="60"/>
  <c r="BP17" i="60"/>
  <c r="BP30" i="60" s="1"/>
  <c r="DE17" i="60"/>
  <c r="DE30" i="60" s="1"/>
  <c r="DE4" i="60"/>
  <c r="DE6" i="60"/>
  <c r="DE7" i="60" s="1"/>
  <c r="CZ17" i="60"/>
  <c r="CZ30" i="60" s="1"/>
  <c r="CZ6" i="60"/>
  <c r="CZ7" i="60" s="1"/>
  <c r="CZ4" i="60"/>
  <c r="S17" i="60"/>
  <c r="S30" i="60" s="1"/>
  <c r="S6" i="60"/>
  <c r="S7" i="60" s="1"/>
  <c r="S4" i="60"/>
  <c r="AZ4" i="60"/>
  <c r="AZ6" i="60"/>
  <c r="AZ7" i="60" s="1"/>
  <c r="AZ17" i="60"/>
  <c r="AZ30" i="60" s="1"/>
  <c r="AV4" i="60"/>
  <c r="AV17" i="60"/>
  <c r="AV30" i="60" s="1"/>
  <c r="AV6" i="60"/>
  <c r="AV7" i="60" s="1"/>
  <c r="DH6" i="60"/>
  <c r="DH7" i="60" s="1"/>
  <c r="DH4" i="60"/>
  <c r="DH17" i="60"/>
  <c r="DH30" i="60" s="1"/>
  <c r="J6" i="60"/>
  <c r="J7" i="60" s="1"/>
  <c r="J4" i="60"/>
  <c r="J17" i="60"/>
  <c r="J30" i="60" s="1"/>
  <c r="AQ17" i="60"/>
  <c r="AQ30" i="60" s="1"/>
  <c r="AQ4" i="60"/>
  <c r="AQ6" i="60"/>
  <c r="AQ7" i="60" s="1"/>
  <c r="BX6" i="60"/>
  <c r="BX7" i="60" s="1"/>
  <c r="BX4" i="60"/>
  <c r="BX17" i="60"/>
  <c r="BX30" i="60" s="1"/>
  <c r="R17" i="60"/>
  <c r="R30" i="60" s="1"/>
  <c r="R6" i="60"/>
  <c r="R7" i="60" s="1"/>
  <c r="R4" i="60"/>
  <c r="AY4" i="60"/>
  <c r="AY6" i="60"/>
  <c r="AY7" i="60" s="1"/>
  <c r="AY17" i="60"/>
  <c r="AY30" i="60" s="1"/>
  <c r="AC4" i="60"/>
  <c r="AC6" i="60"/>
  <c r="AC7" i="60" s="1"/>
  <c r="AC17" i="60"/>
  <c r="AC30" i="60" s="1"/>
  <c r="CF17" i="60"/>
  <c r="CF30" i="60" s="1"/>
  <c r="CF4" i="60"/>
  <c r="CF6" i="60"/>
  <c r="CF7" i="60" s="1"/>
  <c r="AD6" i="60"/>
  <c r="AD7" i="60" s="1"/>
  <c r="AD4" i="60"/>
  <c r="AD17" i="60"/>
  <c r="AD30" i="60" s="1"/>
  <c r="AX6" i="60"/>
  <c r="AX7" i="60" s="1"/>
  <c r="AX4" i="60"/>
  <c r="AX17" i="60"/>
  <c r="AX30" i="60" s="1"/>
  <c r="DL6" i="60"/>
  <c r="DL7" i="60" s="1"/>
  <c r="DL4" i="60"/>
  <c r="DL17" i="60"/>
  <c r="DL30" i="60" s="1"/>
  <c r="CV6" i="60"/>
  <c r="CV7" i="60" s="1"/>
  <c r="CV17" i="60"/>
  <c r="CV30" i="60" s="1"/>
  <c r="CV4" i="60"/>
  <c r="V4" i="60"/>
  <c r="V6" i="60"/>
  <c r="V7" i="60" s="1"/>
  <c r="V17" i="60"/>
  <c r="V30" i="60" s="1"/>
  <c r="Q17" i="60"/>
  <c r="Q30" i="60" s="1"/>
  <c r="Q6" i="60"/>
  <c r="Q7" i="60" s="1"/>
  <c r="Q4" i="60"/>
  <c r="BF17" i="60"/>
  <c r="BF30" i="60" s="1"/>
  <c r="BF6" i="60"/>
  <c r="BF7" i="60" s="1"/>
  <c r="BF4" i="60"/>
  <c r="CO4" i="60"/>
  <c r="CO17" i="60"/>
  <c r="CO30" i="60" s="1"/>
  <c r="CO6" i="60"/>
  <c r="CO7" i="60" s="1"/>
  <c r="CM4" i="60"/>
  <c r="CM6" i="60"/>
  <c r="CM7" i="60" s="1"/>
  <c r="CM17" i="60"/>
  <c r="CM30" i="60" s="1"/>
  <c r="BC6" i="60"/>
  <c r="BC7" i="60" s="1"/>
  <c r="BC4" i="60"/>
  <c r="BC17" i="60"/>
  <c r="BC30" i="60" s="1"/>
  <c r="AT6" i="60"/>
  <c r="AT7" i="60" s="1"/>
  <c r="AT17" i="60"/>
  <c r="AT30" i="60" s="1"/>
  <c r="AT4" i="60"/>
  <c r="O17" i="60"/>
  <c r="O30" i="60" s="1"/>
  <c r="O6" i="60"/>
  <c r="O7" i="60" s="1"/>
  <c r="O4" i="60"/>
  <c r="Y4" i="60"/>
  <c r="Y6" i="60"/>
  <c r="Y7" i="60" s="1"/>
  <c r="Y17" i="60"/>
  <c r="Y30" i="60" s="1"/>
  <c r="BN4" i="60"/>
  <c r="BN6" i="60"/>
  <c r="BN7" i="60" s="1"/>
  <c r="BN17" i="60"/>
  <c r="CU6" i="60"/>
  <c r="CU7" i="60" s="1"/>
  <c r="CU17" i="60"/>
  <c r="CU30" i="60" s="1"/>
  <c r="CU4" i="60"/>
  <c r="DO4" i="60"/>
  <c r="DO6" i="60"/>
  <c r="DO7" i="60" s="1"/>
  <c r="DO17" i="60"/>
  <c r="DO30" i="60" s="1"/>
  <c r="BB6" i="60"/>
  <c r="BB7" i="60" s="1"/>
  <c r="BB4" i="60"/>
  <c r="BB17" i="60"/>
  <c r="BB30" i="60" s="1"/>
  <c r="W6" i="60"/>
  <c r="W7" i="60" s="1"/>
  <c r="W4" i="60"/>
  <c r="W17" i="60"/>
  <c r="W30" i="60" s="1"/>
  <c r="DC17" i="60"/>
  <c r="DC30" i="60" s="1"/>
  <c r="DC4" i="60"/>
  <c r="DC6" i="60"/>
  <c r="DC7" i="60" s="1"/>
  <c r="X6" i="60"/>
  <c r="X7" i="60" s="1"/>
  <c r="X4" i="60"/>
  <c r="X17" i="60"/>
  <c r="X30" i="60" s="1"/>
  <c r="BJ17" i="60"/>
  <c r="BJ30" i="60" s="1"/>
  <c r="BJ6" i="60"/>
  <c r="BJ7" i="60" s="1"/>
  <c r="BJ4" i="60"/>
  <c r="AE4" i="60"/>
  <c r="AE6" i="60"/>
  <c r="AE7" i="60" s="1"/>
  <c r="AE17" i="60"/>
  <c r="AE30" i="60" s="1"/>
  <c r="AP17" i="60"/>
  <c r="AP30" i="60" s="1"/>
  <c r="AP4" i="60"/>
  <c r="AP6" i="60"/>
  <c r="AP7" i="60" s="1"/>
  <c r="BW4" i="60"/>
  <c r="BW6" i="60"/>
  <c r="BW7" i="60" s="1"/>
  <c r="BW17" i="60"/>
  <c r="BW30" i="60" s="1"/>
  <c r="DD17" i="60"/>
  <c r="DD30" i="60" s="1"/>
  <c r="DD4" i="60"/>
  <c r="DD6" i="60"/>
  <c r="DD7" i="60" s="1"/>
  <c r="AG6" i="60"/>
  <c r="AG7" i="60" s="1"/>
  <c r="AG4" i="60"/>
  <c r="AG17" i="60"/>
  <c r="AG30" i="60" s="1"/>
  <c r="BV4" i="60"/>
  <c r="BV6" i="60"/>
  <c r="BV7" i="60" s="1"/>
  <c r="BV17" i="60"/>
  <c r="BV30" i="60" s="1"/>
  <c r="AO17" i="60"/>
  <c r="AO30" i="60" s="1"/>
  <c r="AO4" i="60"/>
  <c r="AO6" i="60"/>
  <c r="AO7" i="60" s="1"/>
  <c r="CD17" i="60"/>
  <c r="CD30" i="60" s="1"/>
  <c r="CD4" i="60"/>
  <c r="CD6" i="60"/>
  <c r="CD7" i="60" s="1"/>
  <c r="DK4" i="60"/>
  <c r="DK6" i="60"/>
  <c r="DK7" i="60" s="1"/>
  <c r="DK17" i="60"/>
  <c r="DK30" i="60" s="1"/>
  <c r="BT6" i="60"/>
  <c r="BT7" i="60" s="1"/>
  <c r="BT4" i="60"/>
  <c r="BT17" i="60"/>
  <c r="BT30" i="60" s="1"/>
  <c r="BR4" i="60"/>
  <c r="BR17" i="60"/>
  <c r="BR30" i="60" s="1"/>
  <c r="BR6" i="60"/>
  <c r="BR7" i="60" s="1"/>
  <c r="BS4" i="60"/>
  <c r="BS6" i="60"/>
  <c r="BS7" i="60" s="1"/>
  <c r="BS17" i="60"/>
  <c r="BS30" i="60" s="1"/>
  <c r="AB6" i="60"/>
  <c r="AB7" i="60" s="1"/>
  <c r="AB4" i="60"/>
  <c r="AB17" i="60"/>
  <c r="AB30" i="60" s="1"/>
  <c r="CW17" i="60"/>
  <c r="CW30" i="60" s="1"/>
  <c r="CW6" i="60"/>
  <c r="CW7" i="60" s="1"/>
  <c r="CW4" i="60"/>
  <c r="Z4" i="60"/>
  <c r="Z17" i="60"/>
  <c r="Z30" i="60" s="1"/>
  <c r="Z6" i="60"/>
  <c r="Z7" i="60" s="1"/>
  <c r="CQ4" i="60"/>
  <c r="CQ6" i="60"/>
  <c r="CQ7" i="60" s="1"/>
  <c r="CQ17" i="60"/>
  <c r="CQ30" i="60" s="1"/>
  <c r="AW4" i="60"/>
  <c r="AW6" i="60"/>
  <c r="AW7" i="60" s="1"/>
  <c r="AW17" i="60"/>
  <c r="AW30" i="60" s="1"/>
  <c r="BA6" i="60"/>
  <c r="BA7" i="60" s="1"/>
  <c r="BA4" i="60"/>
  <c r="BA17" i="60"/>
  <c r="BA30" i="60" s="1"/>
  <c r="CL6" i="60"/>
  <c r="CL7" i="60" s="1"/>
  <c r="CL17" i="60"/>
  <c r="CL30" i="60" s="1"/>
  <c r="CL4" i="60"/>
  <c r="AM17" i="60"/>
  <c r="AM30" i="60" s="1"/>
  <c r="AM4" i="60"/>
  <c r="AM6" i="60"/>
  <c r="AM7" i="60" s="1"/>
  <c r="BD6" i="60"/>
  <c r="BD7" i="60" s="1"/>
  <c r="BD17" i="60"/>
  <c r="BD30" i="60" s="1"/>
  <c r="BD4" i="60"/>
  <c r="DP6" i="60"/>
  <c r="DP7" i="60" s="1"/>
  <c r="DP4" i="60"/>
  <c r="DP17" i="60"/>
  <c r="DP30" i="60" s="1"/>
  <c r="BZ6" i="60"/>
  <c r="BZ7" i="60" s="1"/>
  <c r="BZ4" i="60"/>
  <c r="BZ17" i="60"/>
  <c r="BZ30" i="60" s="1"/>
  <c r="CA17" i="60"/>
  <c r="CA30" i="60" s="1"/>
  <c r="CA6" i="60"/>
  <c r="CA7" i="60" s="1"/>
  <c r="CA4" i="60"/>
  <c r="AS6" i="60"/>
  <c r="AS7" i="60" s="1"/>
  <c r="AS17" i="60"/>
  <c r="AS30" i="60" s="1"/>
  <c r="AS4" i="60"/>
  <c r="CR6" i="60"/>
  <c r="CR7" i="60" s="1"/>
  <c r="CR4" i="60"/>
  <c r="CR17" i="60"/>
  <c r="CR30" i="60" s="1"/>
  <c r="CH17" i="60"/>
  <c r="CH30" i="60" s="1"/>
  <c r="CH4" i="60"/>
  <c r="CH6" i="60"/>
  <c r="CH7" i="60" s="1"/>
  <c r="CI17" i="60"/>
  <c r="CI30" i="60" s="1"/>
  <c r="CI4" i="60"/>
  <c r="CI6" i="60"/>
  <c r="CI7" i="60" s="1"/>
  <c r="AH6" i="60"/>
  <c r="AH7" i="60" s="1"/>
  <c r="AH17" i="60"/>
  <c r="AH30" i="60" s="1"/>
  <c r="AH4" i="60"/>
  <c r="BO6" i="60"/>
  <c r="BO7" i="60" s="1"/>
  <c r="BO4" i="60"/>
  <c r="BO17" i="60"/>
  <c r="BO30" i="60" s="1"/>
  <c r="DM4" i="60"/>
  <c r="DM6" i="60"/>
  <c r="DM7" i="60" s="1"/>
  <c r="DM17" i="60"/>
  <c r="DM30" i="60" s="1"/>
  <c r="BK17" i="60"/>
  <c r="BK30" i="60" s="1"/>
  <c r="BK6" i="60"/>
  <c r="BK7" i="60" s="1"/>
  <c r="BK4" i="60"/>
  <c r="CE17" i="60"/>
  <c r="CE30" i="60" s="1"/>
  <c r="CE4" i="60"/>
  <c r="CE6" i="60"/>
  <c r="CE7" i="60" s="1"/>
  <c r="CP6" i="60"/>
  <c r="CP7" i="60" s="1"/>
  <c r="CP4" i="60"/>
  <c r="CP17" i="60"/>
  <c r="CP30" i="60" s="1"/>
  <c r="CY17" i="60"/>
  <c r="CY30" i="60" s="1"/>
  <c r="CY6" i="60"/>
  <c r="CY7" i="60" s="1"/>
  <c r="CY4" i="60"/>
  <c r="BG17" i="60"/>
  <c r="BG30" i="60" s="1"/>
  <c r="BG6" i="60"/>
  <c r="BG7" i="60" s="1"/>
  <c r="BG4" i="60"/>
  <c r="BY4" i="60"/>
  <c r="BY6" i="60"/>
  <c r="BY7" i="60" s="1"/>
  <c r="BY17" i="60"/>
  <c r="BY30" i="60" s="1"/>
  <c r="CN4" i="60"/>
  <c r="CN6" i="60"/>
  <c r="CN7" i="60" s="1"/>
  <c r="CN17" i="60"/>
  <c r="CN30" i="60" s="1"/>
  <c r="N6" i="60"/>
  <c r="N7" i="60" s="1"/>
  <c r="N17" i="60"/>
  <c r="N30" i="60" s="1"/>
  <c r="N4" i="60"/>
  <c r="CG17" i="60"/>
  <c r="CG30" i="60" s="1"/>
  <c r="CG4" i="60"/>
  <c r="CG6" i="60"/>
  <c r="CG7" i="60" s="1"/>
  <c r="CT6" i="60"/>
  <c r="CT7" i="60" s="1"/>
  <c r="CT4" i="60"/>
  <c r="CT17" i="60"/>
  <c r="CT30" i="60" s="1"/>
  <c r="DG6" i="60"/>
  <c r="DG7" i="60" s="1"/>
  <c r="DG4" i="60"/>
  <c r="DG17" i="60"/>
  <c r="DG30" i="60" s="1"/>
  <c r="BM17" i="60"/>
  <c r="BM30" i="60" s="1"/>
  <c r="BM4" i="60"/>
  <c r="BM6" i="60"/>
  <c r="BM7" i="60" s="1"/>
  <c r="BU4" i="60"/>
  <c r="BU6" i="60"/>
  <c r="BU7" i="60" s="1"/>
  <c r="BU17" i="60"/>
  <c r="BU30" i="60" s="1"/>
  <c r="CS6" i="60"/>
  <c r="CS7" i="60" s="1"/>
  <c r="CS4" i="60"/>
  <c r="CS17" i="60"/>
  <c r="CS30" i="60" s="1"/>
  <c r="BE17" i="60"/>
  <c r="BE30" i="60" s="1"/>
  <c r="BE6" i="60"/>
  <c r="BE7" i="60" s="1"/>
  <c r="BE4" i="60"/>
  <c r="DB17" i="60"/>
  <c r="DB30" i="60" s="1"/>
  <c r="DB6" i="60"/>
  <c r="DB7" i="60" s="1"/>
  <c r="DB4" i="60"/>
  <c r="AL17" i="60"/>
  <c r="AL30" i="60" s="1"/>
  <c r="AL4" i="60"/>
  <c r="AL6" i="60"/>
  <c r="AL7" i="60" s="1"/>
  <c r="DJ4" i="60"/>
  <c r="DJ6" i="60"/>
  <c r="DJ7" i="60" s="1"/>
  <c r="DJ17" i="60"/>
  <c r="DJ30" i="60" s="1"/>
  <c r="M17" i="60"/>
  <c r="M30" i="60" s="1"/>
  <c r="M6" i="60"/>
  <c r="M7" i="60" s="1"/>
  <c r="M4" i="60"/>
  <c r="CX6" i="60"/>
  <c r="CX7" i="60" s="1"/>
  <c r="CX17" i="60"/>
  <c r="CX30" i="60" s="1"/>
  <c r="CX4" i="60"/>
  <c r="CC17" i="60"/>
  <c r="CC30" i="60" s="1"/>
  <c r="CC4" i="60"/>
  <c r="CC6" i="60"/>
  <c r="CC7" i="60" s="1"/>
  <c r="AN17" i="60"/>
  <c r="AN30" i="60" s="1"/>
  <c r="AN4" i="60"/>
  <c r="AN6" i="60"/>
  <c r="AN7" i="60" s="1"/>
  <c r="L6" i="60"/>
  <c r="L7" i="60" s="1"/>
  <c r="L17" i="60"/>
  <c r="L30" i="60" s="1"/>
  <c r="L4" i="60"/>
  <c r="AK17" i="60"/>
  <c r="AK30" i="60" s="1"/>
  <c r="AK4" i="60"/>
  <c r="AK6" i="60"/>
  <c r="AK7" i="60" s="1"/>
  <c r="DF4" i="60"/>
  <c r="DF17" i="60"/>
  <c r="DF30" i="60" s="1"/>
  <c r="DF6" i="60"/>
  <c r="DF7" i="60" s="1"/>
  <c r="AF6" i="60"/>
  <c r="AF7" i="60" s="1"/>
  <c r="AF4" i="60"/>
  <c r="AF17" i="60"/>
  <c r="AF30" i="60" s="1"/>
  <c r="CK6" i="60"/>
  <c r="CK7" i="60" s="1"/>
  <c r="CK17" i="60"/>
  <c r="CK30" i="60" s="1"/>
  <c r="CK4" i="60"/>
  <c r="AU4" i="60"/>
  <c r="AU6" i="60"/>
  <c r="AU7" i="60" s="1"/>
  <c r="AU17" i="60"/>
  <c r="AU30" i="60" s="1"/>
  <c r="CJ4" i="60"/>
  <c r="CJ17" i="60"/>
  <c r="CJ30" i="60" s="1"/>
  <c r="CJ6" i="60"/>
  <c r="CJ7" i="60" s="1"/>
  <c r="T17" i="60"/>
  <c r="T30" i="60" s="1"/>
  <c r="T4" i="60"/>
  <c r="T6" i="60"/>
  <c r="T7" i="60" s="1"/>
  <c r="BI17" i="60"/>
  <c r="BI30" i="60" s="1"/>
  <c r="BI6" i="60"/>
  <c r="BI7" i="60" s="1"/>
  <c r="BI4" i="60"/>
  <c r="DN4" i="60"/>
  <c r="DN6" i="60"/>
  <c r="DN7" i="60" s="1"/>
  <c r="DN17" i="60"/>
  <c r="DN30" i="60" s="1"/>
  <c r="CB6" i="60"/>
  <c r="CB7" i="60" s="1"/>
  <c r="CB17" i="60"/>
  <c r="CB30" i="60" s="1"/>
  <c r="CB4" i="60"/>
  <c r="DA17" i="60"/>
  <c r="DA30" i="60" s="1"/>
  <c r="DA6" i="60"/>
  <c r="DA7" i="60" s="1"/>
  <c r="DA4" i="60"/>
  <c r="AJ17" i="60"/>
  <c r="AJ30" i="60" s="1"/>
  <c r="AJ6" i="60"/>
  <c r="AJ7" i="60" s="1"/>
  <c r="AJ4" i="60"/>
  <c r="DI4" i="60"/>
  <c r="DI6" i="60"/>
  <c r="DI7" i="60" s="1"/>
  <c r="DI17" i="60"/>
  <c r="DI30" i="60" s="1"/>
  <c r="K6" i="60"/>
  <c r="K7" i="60" s="1"/>
  <c r="K4" i="60"/>
  <c r="K17" i="60"/>
  <c r="K30" i="60" s="1"/>
  <c r="AR17" i="60"/>
  <c r="AR30" i="60" s="1"/>
  <c r="AR4" i="60"/>
  <c r="AR6" i="60"/>
  <c r="AR7" i="60" s="1"/>
  <c r="X241" i="59"/>
  <c r="X242" i="59"/>
  <c r="X243" i="59"/>
  <c r="X244" i="59"/>
  <c r="X245" i="59"/>
  <c r="X246" i="59"/>
  <c r="W242" i="59"/>
  <c r="W243" i="59"/>
  <c r="W244" i="59"/>
  <c r="W245" i="59"/>
  <c r="W246" i="59"/>
  <c r="V242" i="59"/>
  <c r="V243" i="59"/>
  <c r="V244" i="59"/>
  <c r="V245" i="59"/>
  <c r="V246" i="59"/>
  <c r="U239" i="59"/>
  <c r="U240" i="59"/>
  <c r="U241" i="59"/>
  <c r="U242" i="59"/>
  <c r="U243" i="59"/>
  <c r="U244" i="59"/>
  <c r="U245" i="59"/>
  <c r="U246" i="59"/>
  <c r="T241" i="59"/>
  <c r="T242" i="59"/>
  <c r="T243" i="59"/>
  <c r="T244" i="59"/>
  <c r="T245" i="59"/>
  <c r="T246" i="59"/>
  <c r="R240" i="59"/>
  <c r="R241" i="59"/>
  <c r="R242" i="59"/>
  <c r="R243" i="59"/>
  <c r="R244" i="59"/>
  <c r="R245" i="59"/>
  <c r="R246" i="59"/>
  <c r="Q242" i="59"/>
  <c r="Q243" i="59"/>
  <c r="Q244" i="59"/>
  <c r="Q245" i="59"/>
  <c r="Q246" i="59"/>
  <c r="BA21" i="60" l="1"/>
  <c r="DO21" i="60"/>
  <c r="BO21" i="60"/>
  <c r="BN30" i="60"/>
  <c r="BN34" i="60" s="1"/>
  <c r="AM21" i="60"/>
  <c r="BG21" i="60"/>
  <c r="S21" i="60"/>
  <c r="AL21" i="60"/>
  <c r="BN21" i="60"/>
  <c r="K21" i="60"/>
  <c r="DQ21" i="60"/>
  <c r="BV21" i="60"/>
  <c r="AG21" i="60"/>
  <c r="L21" i="60"/>
  <c r="DD21" i="60"/>
  <c r="AF21" i="60"/>
  <c r="CS21" i="60"/>
  <c r="AR21" i="60"/>
  <c r="CR21" i="60"/>
  <c r="CZ21" i="60"/>
  <c r="T21" i="60"/>
  <c r="BW21" i="60"/>
  <c r="U21" i="60"/>
  <c r="AH21" i="60"/>
  <c r="AZ21" i="60"/>
  <c r="BE21" i="60"/>
  <c r="BD21" i="60"/>
  <c r="BS21" i="60"/>
  <c r="BZ21" i="60"/>
  <c r="AM35" i="60"/>
  <c r="H56" i="93" s="1"/>
  <c r="CZ35" i="60"/>
  <c r="H75" i="93" s="1"/>
  <c r="BC35" i="60"/>
  <c r="H92" i="93" s="1"/>
  <c r="BS35" i="60"/>
  <c r="H30" i="93" s="1"/>
  <c r="BX35" i="60"/>
  <c r="CR35" i="60"/>
  <c r="H36" i="93" s="1"/>
  <c r="BA35" i="60"/>
  <c r="H95" i="93" s="1"/>
  <c r="AS35" i="60"/>
  <c r="H50" i="93" s="1"/>
  <c r="AW35" i="60"/>
  <c r="H91" i="93" s="1"/>
  <c r="AW34" i="60"/>
  <c r="G91" i="93" s="1"/>
  <c r="BK35" i="60"/>
  <c r="H96" i="93" s="1"/>
  <c r="BK34" i="60"/>
  <c r="G96" i="93" s="1"/>
  <c r="AI35" i="60"/>
  <c r="CV35" i="60"/>
  <c r="H40" i="93" s="1"/>
  <c r="CT35" i="60"/>
  <c r="H39" i="93" s="1"/>
  <c r="T35" i="60"/>
  <c r="CA35" i="60"/>
  <c r="CA34" i="60"/>
  <c r="X35" i="60"/>
  <c r="CW35" i="60"/>
  <c r="H32" i="93" s="1"/>
  <c r="V35" i="60"/>
  <c r="R35" i="60"/>
  <c r="H41" i="93" s="1"/>
  <c r="AT35" i="60"/>
  <c r="H55" i="93" s="1"/>
  <c r="AT34" i="60"/>
  <c r="G55" i="93" s="1"/>
  <c r="CL35" i="60"/>
  <c r="AL35" i="60"/>
  <c r="H51" i="93" s="1"/>
  <c r="BW35" i="60"/>
  <c r="H28" i="93" s="1"/>
  <c r="CG35" i="60"/>
  <c r="BP35" i="60"/>
  <c r="H29" i="93" s="1"/>
  <c r="AR35" i="60"/>
  <c r="H58" i="93" s="1"/>
  <c r="AU35" i="60"/>
  <c r="H88" i="93" s="1"/>
  <c r="AU34" i="60"/>
  <c r="G88" i="93" s="1"/>
  <c r="AJ35" i="60"/>
  <c r="FC17" i="60"/>
  <c r="DA35" i="60"/>
  <c r="H73" i="93" s="1"/>
  <c r="AF35" i="60"/>
  <c r="AB35" i="60"/>
  <c r="AB34" i="60"/>
  <c r="W35" i="60"/>
  <c r="W34" i="60"/>
  <c r="BI35" i="60"/>
  <c r="H99" i="93" s="1"/>
  <c r="K35" i="60"/>
  <c r="H42" i="93" s="1"/>
  <c r="AD35" i="60"/>
  <c r="M35" i="60"/>
  <c r="H45" i="93" s="1"/>
  <c r="BH35" i="60"/>
  <c r="H103" i="93" s="1"/>
  <c r="BH34" i="60"/>
  <c r="G103" i="93" s="1"/>
  <c r="I34" i="60"/>
  <c r="CP35" i="60"/>
  <c r="H33" i="93" s="1"/>
  <c r="AK35" i="60"/>
  <c r="BT35" i="60"/>
  <c r="H26" i="93" s="1"/>
  <c r="AQ35" i="60"/>
  <c r="H53" i="93" s="1"/>
  <c r="N35" i="60"/>
  <c r="H43" i="93" s="1"/>
  <c r="CN35" i="60"/>
  <c r="AO35" i="60"/>
  <c r="H52" i="93" s="1"/>
  <c r="CB35" i="60"/>
  <c r="CY35" i="60"/>
  <c r="H70" i="93" s="1"/>
  <c r="AG35" i="60"/>
  <c r="AG34" i="60"/>
  <c r="O35" i="60"/>
  <c r="H48" i="93" s="1"/>
  <c r="S35" i="60"/>
  <c r="H46" i="93" s="1"/>
  <c r="S34" i="60"/>
  <c r="G46" i="93" s="1"/>
  <c r="AA35" i="60"/>
  <c r="CF21" i="60"/>
  <c r="CV21" i="60"/>
  <c r="BC21" i="60"/>
  <c r="AD21" i="60"/>
  <c r="DN21" i="60"/>
  <c r="AX35" i="60"/>
  <c r="H89" i="93" s="1"/>
  <c r="CQ35" i="60"/>
  <c r="H38" i="93" s="1"/>
  <c r="AP35" i="60"/>
  <c r="H57" i="93" s="1"/>
  <c r="N21" i="60"/>
  <c r="CG21" i="60"/>
  <c r="DF21" i="60"/>
  <c r="DA21" i="60"/>
  <c r="BJ35" i="60"/>
  <c r="H104" i="93" s="1"/>
  <c r="CJ35" i="60"/>
  <c r="AY35" i="60"/>
  <c r="H94" i="93" s="1"/>
  <c r="DN16" i="60"/>
  <c r="I236" i="59" s="1"/>
  <c r="DN35" i="60"/>
  <c r="H86" i="93" s="1"/>
  <c r="EX17" i="60"/>
  <c r="J35" i="60"/>
  <c r="CO35" i="60"/>
  <c r="DH16" i="60"/>
  <c r="I230" i="59" s="1"/>
  <c r="DH35" i="60"/>
  <c r="H79" i="93" s="1"/>
  <c r="DE16" i="60"/>
  <c r="I227" i="59" s="1"/>
  <c r="DE35" i="60"/>
  <c r="H77" i="93" s="1"/>
  <c r="DB16" i="60"/>
  <c r="I224" i="59" s="1"/>
  <c r="DB35" i="60"/>
  <c r="H71" i="93" s="1"/>
  <c r="DK16" i="60"/>
  <c r="I233" i="59" s="1"/>
  <c r="DK35" i="60"/>
  <c r="H80" i="93" s="1"/>
  <c r="CS35" i="60"/>
  <c r="H34" i="93" s="1"/>
  <c r="BZ35" i="60"/>
  <c r="CC35" i="60"/>
  <c r="BU35" i="60"/>
  <c r="H31" i="93" s="1"/>
  <c r="DP16" i="60"/>
  <c r="I238" i="59" s="1"/>
  <c r="DP35" i="60"/>
  <c r="H83" i="93" s="1"/>
  <c r="Z35" i="60"/>
  <c r="CD35" i="60"/>
  <c r="BF35" i="60"/>
  <c r="H100" i="93" s="1"/>
  <c r="AC35" i="60"/>
  <c r="AV35" i="60"/>
  <c r="H93" i="93" s="1"/>
  <c r="BL35" i="60"/>
  <c r="H101" i="93" s="1"/>
  <c r="DP21" i="60"/>
  <c r="M21" i="60"/>
  <c r="CW21" i="60"/>
  <c r="BK21" i="60"/>
  <c r="BM35" i="60"/>
  <c r="DF16" i="60"/>
  <c r="I228" i="59" s="1"/>
  <c r="DF35" i="60"/>
  <c r="H69" i="93" s="1"/>
  <c r="DL16" i="60"/>
  <c r="I234" i="59" s="1"/>
  <c r="DL35" i="60"/>
  <c r="H85" i="93" s="1"/>
  <c r="DD16" i="60"/>
  <c r="I226" i="59" s="1"/>
  <c r="DD35" i="60"/>
  <c r="H72" i="93" s="1"/>
  <c r="BE35" i="60"/>
  <c r="H102" i="93" s="1"/>
  <c r="DI16" i="60"/>
  <c r="I231" i="59" s="1"/>
  <c r="DI35" i="60"/>
  <c r="H84" i="93" s="1"/>
  <c r="BQ35" i="60"/>
  <c r="H27" i="93" s="1"/>
  <c r="CH35" i="60"/>
  <c r="L35" i="60"/>
  <c r="H47" i="93" s="1"/>
  <c r="DO16" i="60"/>
  <c r="I237" i="59" s="1"/>
  <c r="DO35" i="60"/>
  <c r="H78" i="93" s="1"/>
  <c r="AE35" i="60"/>
  <c r="CF35" i="60"/>
  <c r="AH35" i="60"/>
  <c r="Y35" i="60"/>
  <c r="AZ35" i="60"/>
  <c r="H90" i="93" s="1"/>
  <c r="CI35" i="60"/>
  <c r="BB35" i="60"/>
  <c r="H87" i="93" s="1"/>
  <c r="DQ16" i="60"/>
  <c r="I239" i="59" s="1"/>
  <c r="DQ35" i="60"/>
  <c r="H105" i="93" s="1"/>
  <c r="AN35" i="60"/>
  <c r="H54" i="93" s="1"/>
  <c r="CU35" i="60"/>
  <c r="H35" i="93" s="1"/>
  <c r="CK35" i="60"/>
  <c r="Q35" i="60"/>
  <c r="H49" i="93" s="1"/>
  <c r="DG16" i="60"/>
  <c r="I229" i="59" s="1"/>
  <c r="DG35" i="60"/>
  <c r="H74" i="93" s="1"/>
  <c r="DJ16" i="60"/>
  <c r="I232" i="59" s="1"/>
  <c r="DJ35" i="60"/>
  <c r="H82" i="93" s="1"/>
  <c r="DC16" i="60"/>
  <c r="I225" i="59" s="1"/>
  <c r="DC35" i="60"/>
  <c r="H76" i="93" s="1"/>
  <c r="BR35" i="60"/>
  <c r="H25" i="93" s="1"/>
  <c r="U35" i="60"/>
  <c r="CE35" i="60"/>
  <c r="CM35" i="60"/>
  <c r="P35" i="60"/>
  <c r="H44" i="93" s="1"/>
  <c r="DM16" i="60"/>
  <c r="I235" i="59" s="1"/>
  <c r="DM35" i="60"/>
  <c r="H81" i="93" s="1"/>
  <c r="BO35" i="60"/>
  <c r="H24" i="93" s="1"/>
  <c r="BY35" i="60"/>
  <c r="CX35" i="60"/>
  <c r="H37" i="93" s="1"/>
  <c r="FF17" i="60"/>
  <c r="BG35" i="60"/>
  <c r="H98" i="93" s="1"/>
  <c r="BD35" i="60"/>
  <c r="H97" i="93" s="1"/>
  <c r="BV35" i="60"/>
  <c r="H23" i="93" s="1"/>
  <c r="BL21" i="60"/>
  <c r="BQ21" i="60"/>
  <c r="BH21" i="60"/>
  <c r="BR21" i="60"/>
  <c r="CU21" i="60"/>
  <c r="W21" i="60"/>
  <c r="CB21" i="60"/>
  <c r="AQ21" i="60"/>
  <c r="BP21" i="60"/>
  <c r="BM21" i="60"/>
  <c r="CA21" i="60"/>
  <c r="DY17" i="60"/>
  <c r="FA17" i="60"/>
  <c r="FS17" i="60"/>
  <c r="J21" i="60"/>
  <c r="AW21" i="60"/>
  <c r="HF17" i="60"/>
  <c r="ET17" i="60"/>
  <c r="GO17" i="60"/>
  <c r="CD21" i="60"/>
  <c r="AC21" i="60"/>
  <c r="Q21" i="60"/>
  <c r="CP21" i="60"/>
  <c r="BI21" i="60"/>
  <c r="CT21" i="60"/>
  <c r="FT17" i="60"/>
  <c r="GE17" i="60"/>
  <c r="V21" i="60"/>
  <c r="ES17" i="60"/>
  <c r="EK17" i="60"/>
  <c r="GC17" i="60"/>
  <c r="GD17" i="60"/>
  <c r="GF17" i="60"/>
  <c r="HG17" i="60"/>
  <c r="BY21" i="60"/>
  <c r="BJ21" i="60"/>
  <c r="CI21" i="60"/>
  <c r="AE21" i="60"/>
  <c r="AX21" i="60"/>
  <c r="CH21" i="60"/>
  <c r="DH21" i="60"/>
  <c r="CK21" i="60"/>
  <c r="AA21" i="60"/>
  <c r="AN21" i="60"/>
  <c r="BT21" i="60"/>
  <c r="ED17" i="60"/>
  <c r="BX21" i="60"/>
  <c r="DJ21" i="60"/>
  <c r="DE21" i="60"/>
  <c r="AU21" i="60"/>
  <c r="AJ21" i="60"/>
  <c r="AS21" i="60"/>
  <c r="CY21" i="60"/>
  <c r="AT21" i="60"/>
  <c r="CM21" i="60"/>
  <c r="CC21" i="60"/>
  <c r="CQ21" i="60"/>
  <c r="DM21" i="60"/>
  <c r="DI21" i="60"/>
  <c r="BB21" i="60"/>
  <c r="BU21" i="60"/>
  <c r="GR17" i="60"/>
  <c r="HK17" i="60"/>
  <c r="AY21" i="60"/>
  <c r="CO21" i="60"/>
  <c r="Z21" i="60"/>
  <c r="P21" i="60"/>
  <c r="BF21" i="60"/>
  <c r="Y21" i="60"/>
  <c r="AK21" i="60"/>
  <c r="CX21" i="60"/>
  <c r="FM17" i="60"/>
  <c r="DK21" i="60"/>
  <c r="AO21" i="60"/>
  <c r="X21" i="60"/>
  <c r="DL21" i="60"/>
  <c r="AB21" i="60"/>
  <c r="DG21" i="60"/>
  <c r="AP21" i="60"/>
  <c r="HL17" i="60"/>
  <c r="HB17" i="60"/>
  <c r="GA17" i="60"/>
  <c r="EG17" i="60"/>
  <c r="GI17" i="60"/>
  <c r="CN21" i="60"/>
  <c r="R21" i="60"/>
  <c r="DB21" i="60"/>
  <c r="AI21" i="60"/>
  <c r="AV21" i="60"/>
  <c r="CE21" i="60"/>
  <c r="CL21" i="60"/>
  <c r="O21" i="60"/>
  <c r="GP17" i="60"/>
  <c r="EH17" i="60"/>
  <c r="FG17" i="60"/>
  <c r="DC21" i="60"/>
  <c r="CJ21" i="60"/>
  <c r="GV17" i="60"/>
  <c r="GJ17" i="60"/>
  <c r="GU17" i="60"/>
  <c r="EC17" i="60"/>
  <c r="EI17" i="60"/>
  <c r="FV17" i="60"/>
  <c r="DS17" i="60"/>
  <c r="EU17" i="60"/>
  <c r="DR17" i="60"/>
  <c r="FK17" i="60"/>
  <c r="EJ17" i="60"/>
  <c r="FN17" i="60"/>
  <c r="FY17" i="60"/>
  <c r="HJ17" i="60"/>
  <c r="GM17" i="60"/>
  <c r="EO17" i="60"/>
  <c r="EA17" i="60"/>
  <c r="HH17" i="60"/>
  <c r="GL17" i="60"/>
  <c r="DZ17" i="60"/>
  <c r="FJ17" i="60"/>
  <c r="GQ17" i="60"/>
  <c r="FD17" i="60"/>
  <c r="FE17" i="60"/>
  <c r="EQ17" i="60"/>
  <c r="GB17" i="60"/>
  <c r="FR17" i="60"/>
  <c r="DT17" i="60"/>
  <c r="EM17" i="60"/>
  <c r="DX17" i="60"/>
  <c r="DU17" i="60"/>
  <c r="FB17" i="60"/>
  <c r="HA17" i="60"/>
  <c r="HE17" i="60"/>
  <c r="FU17" i="60"/>
  <c r="FL17" i="60"/>
  <c r="HD17" i="60"/>
  <c r="GY17" i="60"/>
  <c r="ER17" i="60"/>
  <c r="GZ17" i="60"/>
  <c r="FX17" i="60"/>
  <c r="DW17" i="60"/>
  <c r="EB17" i="60"/>
  <c r="FZ17" i="60"/>
  <c r="HC17" i="60"/>
  <c r="GW17" i="60"/>
  <c r="FW17" i="60"/>
  <c r="FH17" i="60"/>
  <c r="GT17" i="60"/>
  <c r="EE17" i="60"/>
  <c r="GH17" i="60"/>
  <c r="HI17" i="60"/>
  <c r="GG17" i="60"/>
  <c r="GX17" i="60"/>
  <c r="DV17" i="60"/>
  <c r="EW17" i="60"/>
  <c r="GK17" i="60"/>
  <c r="EL17" i="60"/>
  <c r="EV17" i="60"/>
  <c r="EP17" i="60"/>
  <c r="FQ17" i="60"/>
  <c r="EN17" i="60"/>
  <c r="FP17" i="60"/>
  <c r="EF17" i="60"/>
  <c r="GS17" i="60"/>
  <c r="GN17" i="60"/>
  <c r="FI17" i="60"/>
  <c r="FO17" i="60"/>
  <c r="EZ17" i="60"/>
  <c r="EY17" i="60"/>
  <c r="B127" i="59"/>
  <c r="BN35" i="60" l="1"/>
  <c r="AK34" i="60"/>
  <c r="CM34" i="60"/>
  <c r="CG34" i="60"/>
  <c r="AS34" i="60"/>
  <c r="G50" i="93" s="1"/>
  <c r="AH34" i="60"/>
  <c r="BS34" i="60"/>
  <c r="G30" i="93" s="1"/>
  <c r="AE34" i="60"/>
  <c r="DL34" i="60"/>
  <c r="G85" i="93" s="1"/>
  <c r="AJ34" i="60"/>
  <c r="BJ34" i="60"/>
  <c r="G104" i="93" s="1"/>
  <c r="AA34" i="60"/>
  <c r="M34" i="60"/>
  <c r="G45" i="93" s="1"/>
  <c r="DM34" i="60"/>
  <c r="G81" i="93" s="1"/>
  <c r="CZ34" i="60"/>
  <c r="G75" i="93" s="1"/>
  <c r="DO34" i="60"/>
  <c r="G78" i="93" s="1"/>
  <c r="AD34" i="60"/>
  <c r="AR34" i="60"/>
  <c r="G58" i="93" s="1"/>
  <c r="DQ34" i="60"/>
  <c r="G105" i="93" s="1"/>
  <c r="BA34" i="60"/>
  <c r="G95" i="93" s="1"/>
  <c r="AL34" i="60"/>
  <c r="G51" i="93" s="1"/>
  <c r="CR34" i="60"/>
  <c r="G36" i="93" s="1"/>
  <c r="BB34" i="60"/>
  <c r="G87" i="93" s="1"/>
  <c r="CY34" i="60"/>
  <c r="G70" i="93" s="1"/>
  <c r="CI34" i="60"/>
  <c r="CT34" i="60"/>
  <c r="G39" i="93" s="1"/>
  <c r="CB34" i="60"/>
  <c r="AZ34" i="60"/>
  <c r="G90" i="93" s="1"/>
  <c r="CL34" i="60"/>
  <c r="BX34" i="60"/>
  <c r="AV34" i="60"/>
  <c r="G93" i="93" s="1"/>
  <c r="AC34" i="60"/>
  <c r="BL34" i="60"/>
  <c r="G101" i="93" s="1"/>
  <c r="CN34" i="60"/>
  <c r="K34" i="60"/>
  <c r="G42" i="93" s="1"/>
  <c r="R34" i="60"/>
  <c r="G41" i="93" s="1"/>
  <c r="N34" i="60"/>
  <c r="G43" i="93" s="1"/>
  <c r="BO34" i="60"/>
  <c r="G24" i="93" s="1"/>
  <c r="BI34" i="60"/>
  <c r="G99" i="93" s="1"/>
  <c r="BF34" i="60"/>
  <c r="G100" i="93" s="1"/>
  <c r="CD34" i="60"/>
  <c r="BZ34" i="60"/>
  <c r="CX34" i="60"/>
  <c r="G37" i="93" s="1"/>
  <c r="DB34" i="60"/>
  <c r="G71" i="93" s="1"/>
  <c r="BQ34" i="60"/>
  <c r="G27" i="93" s="1"/>
  <c r="BP34" i="60"/>
  <c r="G29" i="93" s="1"/>
  <c r="BV34" i="60"/>
  <c r="G23" i="93" s="1"/>
  <c r="DP34" i="60"/>
  <c r="G83" i="93" s="1"/>
  <c r="AQ34" i="60"/>
  <c r="G53" i="93" s="1"/>
  <c r="DI34" i="60"/>
  <c r="G84" i="93" s="1"/>
  <c r="AF34" i="60"/>
  <c r="CW34" i="60"/>
  <c r="G32" i="93" s="1"/>
  <c r="CH34" i="60"/>
  <c r="Z34" i="60"/>
  <c r="CV34" i="60"/>
  <c r="G40" i="93" s="1"/>
  <c r="P34" i="60"/>
  <c r="G44" i="93" s="1"/>
  <c r="DJ34" i="60"/>
  <c r="G82" i="93" s="1"/>
  <c r="CJ34" i="60"/>
  <c r="BT34" i="60"/>
  <c r="G26" i="93" s="1"/>
  <c r="CO34" i="60"/>
  <c r="BD34" i="60"/>
  <c r="G97" i="93" s="1"/>
  <c r="BU34" i="60"/>
  <c r="G31" i="93" s="1"/>
  <c r="O34" i="60"/>
  <c r="G48" i="93" s="1"/>
  <c r="BW34" i="60"/>
  <c r="G28" i="93" s="1"/>
  <c r="X34" i="60"/>
  <c r="Q34" i="60"/>
  <c r="G49" i="93" s="1"/>
  <c r="CK34" i="60"/>
  <c r="CE34" i="60"/>
  <c r="BE34" i="60"/>
  <c r="G102" i="93" s="1"/>
  <c r="DG34" i="60"/>
  <c r="G74" i="93" s="1"/>
  <c r="AY34" i="60"/>
  <c r="G94" i="93" s="1"/>
  <c r="CC34" i="60"/>
  <c r="BM34" i="60"/>
  <c r="AO34" i="60"/>
  <c r="G52" i="93" s="1"/>
  <c r="DE34" i="60"/>
  <c r="G77" i="93" s="1"/>
  <c r="BG34" i="60"/>
  <c r="G98" i="93" s="1"/>
  <c r="DA34" i="60"/>
  <c r="G73" i="93" s="1"/>
  <c r="J34" i="60"/>
  <c r="BR34" i="60"/>
  <c r="G25" i="93" s="1"/>
  <c r="L34" i="60"/>
  <c r="G47" i="93" s="1"/>
  <c r="CQ34" i="60"/>
  <c r="G38" i="93" s="1"/>
  <c r="U34" i="60"/>
  <c r="DK34" i="60"/>
  <c r="G80" i="93" s="1"/>
  <c r="DD34" i="60"/>
  <c r="G72" i="93" s="1"/>
  <c r="DC34" i="60"/>
  <c r="G76" i="93" s="1"/>
  <c r="BC34" i="60"/>
  <c r="G92" i="93" s="1"/>
  <c r="CU34" i="60"/>
  <c r="G35" i="93" s="1"/>
  <c r="CS34" i="60"/>
  <c r="G34" i="93" s="1"/>
  <c r="AN34" i="60"/>
  <c r="G54" i="93" s="1"/>
  <c r="AP34" i="60"/>
  <c r="G57" i="93" s="1"/>
  <c r="AX34" i="60"/>
  <c r="G89" i="93" s="1"/>
  <c r="DH34" i="60"/>
  <c r="G79" i="93" s="1"/>
  <c r="CP34" i="60"/>
  <c r="G33" i="93" s="1"/>
  <c r="CF34" i="60"/>
  <c r="DN34" i="60"/>
  <c r="G86" i="93" s="1"/>
  <c r="Y34" i="60"/>
  <c r="AI34" i="60"/>
  <c r="AM34" i="60"/>
  <c r="G56" i="93" s="1"/>
  <c r="DF34" i="60"/>
  <c r="G69" i="93" s="1"/>
  <c r="BY34" i="60"/>
  <c r="V34" i="60"/>
  <c r="T34" i="60"/>
  <c r="CZ16" i="60"/>
  <c r="I222" i="59" s="1"/>
  <c r="CP16" i="60"/>
  <c r="I212" i="59" s="1"/>
  <c r="CH16" i="60"/>
  <c r="I204" i="59" s="1"/>
  <c r="B183" i="59"/>
  <c r="B138" i="59"/>
  <c r="B144" i="59"/>
  <c r="B208" i="59"/>
  <c r="B186" i="59"/>
  <c r="B230" i="59"/>
  <c r="B185" i="59"/>
  <c r="B134" i="59"/>
  <c r="B163" i="59"/>
  <c r="B227" i="59"/>
  <c r="B132" i="59"/>
  <c r="B196" i="59"/>
  <c r="B173" i="59"/>
  <c r="B191" i="59"/>
  <c r="B154" i="59"/>
  <c r="B152" i="59"/>
  <c r="B216" i="59"/>
  <c r="B210" i="59"/>
  <c r="B129" i="59"/>
  <c r="B193" i="59"/>
  <c r="B174" i="59"/>
  <c r="B171" i="59"/>
  <c r="B140" i="59"/>
  <c r="B204" i="59"/>
  <c r="B189" i="59"/>
  <c r="B199" i="59"/>
  <c r="B201" i="59"/>
  <c r="B205" i="59"/>
  <c r="B168" i="59"/>
  <c r="B151" i="59"/>
  <c r="B215" i="59"/>
  <c r="B226" i="59"/>
  <c r="B176" i="59"/>
  <c r="B233" i="59"/>
  <c r="B142" i="59"/>
  <c r="B153" i="59"/>
  <c r="B225" i="59"/>
  <c r="B131" i="59"/>
  <c r="B195" i="59"/>
  <c r="B165" i="59"/>
  <c r="B164" i="59"/>
  <c r="B228" i="59"/>
  <c r="B166" i="59"/>
  <c r="B224" i="59"/>
  <c r="B179" i="59"/>
  <c r="B143" i="59"/>
  <c r="B202" i="59"/>
  <c r="B232" i="59"/>
  <c r="B229" i="59"/>
  <c r="B145" i="59"/>
  <c r="B209" i="59"/>
  <c r="B222" i="59"/>
  <c r="B187" i="59"/>
  <c r="B149" i="59"/>
  <c r="B156" i="59"/>
  <c r="B220" i="59"/>
  <c r="B150" i="59"/>
  <c r="B159" i="59"/>
  <c r="B223" i="59"/>
  <c r="B221" i="59"/>
  <c r="B184" i="59"/>
  <c r="B130" i="59"/>
  <c r="B158" i="59"/>
  <c r="B161" i="59"/>
  <c r="B162" i="59"/>
  <c r="B139" i="59"/>
  <c r="B203" i="59"/>
  <c r="B181" i="59"/>
  <c r="B172" i="59"/>
  <c r="B190" i="59"/>
  <c r="B135" i="59"/>
  <c r="B178" i="59"/>
  <c r="B160" i="59"/>
  <c r="B234" i="59"/>
  <c r="B137" i="59"/>
  <c r="B198" i="59"/>
  <c r="B141" i="59"/>
  <c r="B148" i="59"/>
  <c r="B212" i="59"/>
  <c r="B207" i="59"/>
  <c r="B167" i="59"/>
  <c r="B231" i="59"/>
  <c r="B128" i="59"/>
  <c r="B192" i="59"/>
  <c r="B146" i="59"/>
  <c r="B182" i="59"/>
  <c r="B169" i="59"/>
  <c r="B194" i="59"/>
  <c r="B147" i="59"/>
  <c r="B211" i="59"/>
  <c r="B197" i="59"/>
  <c r="B180" i="59"/>
  <c r="B133" i="59"/>
  <c r="B214" i="59"/>
  <c r="B175" i="59"/>
  <c r="B217" i="59"/>
  <c r="B136" i="59"/>
  <c r="B200" i="59"/>
  <c r="B170" i="59"/>
  <c r="B206" i="59"/>
  <c r="B177" i="59"/>
  <c r="B218" i="59"/>
  <c r="B155" i="59"/>
  <c r="B219" i="59"/>
  <c r="B213" i="59"/>
  <c r="B188" i="59"/>
  <c r="B157" i="59"/>
  <c r="DI33" i="60" l="1"/>
  <c r="DM33" i="60"/>
  <c r="DL33" i="60"/>
  <c r="DB33" i="60"/>
  <c r="DD33" i="60"/>
  <c r="DK33" i="60"/>
  <c r="DO33" i="60"/>
  <c r="DQ33" i="60"/>
  <c r="DF33" i="60"/>
  <c r="DJ33" i="60"/>
  <c r="DE33" i="60"/>
  <c r="DH33" i="60"/>
  <c r="DG33" i="60"/>
  <c r="DN33" i="60"/>
  <c r="DP33" i="60"/>
  <c r="AD25" i="60"/>
  <c r="CL16" i="60"/>
  <c r="I208" i="59" s="1"/>
  <c r="CS16" i="60"/>
  <c r="I215" i="59" s="1"/>
  <c r="CQ16" i="60"/>
  <c r="I213" i="59" s="1"/>
  <c r="CY16" i="60"/>
  <c r="I221" i="59" s="1"/>
  <c r="CK16" i="60"/>
  <c r="I207" i="59" s="1"/>
  <c r="CO16" i="60"/>
  <c r="I211" i="59" s="1"/>
  <c r="CV16" i="60"/>
  <c r="I218" i="59" s="1"/>
  <c r="CW16" i="60"/>
  <c r="I219" i="59" s="1"/>
  <c r="CX16" i="60"/>
  <c r="I220" i="59" s="1"/>
  <c r="CM16" i="60"/>
  <c r="I209" i="59" s="1"/>
  <c r="CT16" i="60"/>
  <c r="I216" i="59" s="1"/>
  <c r="CU16" i="60"/>
  <c r="I217" i="59" s="1"/>
  <c r="AK16" i="60"/>
  <c r="I155" i="59" s="1"/>
  <c r="CJ16" i="60"/>
  <c r="I206" i="59" s="1"/>
  <c r="DA16" i="60"/>
  <c r="I223" i="59" s="1"/>
  <c r="M213" i="59"/>
  <c r="M147" i="59"/>
  <c r="M130" i="59"/>
  <c r="M150" i="59"/>
  <c r="M209" i="59"/>
  <c r="M164" i="59"/>
  <c r="M151" i="59"/>
  <c r="M189" i="59"/>
  <c r="M129" i="59"/>
  <c r="M163" i="59"/>
  <c r="M182" i="59"/>
  <c r="M128" i="59"/>
  <c r="M207" i="59"/>
  <c r="M148" i="59"/>
  <c r="M137" i="59"/>
  <c r="M190" i="59"/>
  <c r="M203" i="59"/>
  <c r="M161" i="59"/>
  <c r="M149" i="59"/>
  <c r="M131" i="59"/>
  <c r="M201" i="59"/>
  <c r="M191" i="59"/>
  <c r="M144" i="59"/>
  <c r="M170" i="59"/>
  <c r="M157" i="59"/>
  <c r="M219" i="59"/>
  <c r="M177" i="59"/>
  <c r="M217" i="59"/>
  <c r="M197" i="59"/>
  <c r="M194" i="59"/>
  <c r="M178" i="59"/>
  <c r="M187" i="59"/>
  <c r="M166" i="59"/>
  <c r="M142" i="59"/>
  <c r="M152" i="59"/>
  <c r="M132" i="59"/>
  <c r="M186" i="59"/>
  <c r="M214" i="59"/>
  <c r="M146" i="59"/>
  <c r="M184" i="59"/>
  <c r="M220" i="59"/>
  <c r="M145" i="59"/>
  <c r="M165" i="59"/>
  <c r="M168" i="59"/>
  <c r="M204" i="59"/>
  <c r="M134" i="59"/>
  <c r="M155" i="59"/>
  <c r="M200" i="59"/>
  <c r="M175" i="59"/>
  <c r="M133" i="59"/>
  <c r="M141" i="59"/>
  <c r="M172" i="59"/>
  <c r="M139" i="59"/>
  <c r="M159" i="59"/>
  <c r="M179" i="59"/>
  <c r="M199" i="59"/>
  <c r="M174" i="59"/>
  <c r="M210" i="59"/>
  <c r="M154" i="59"/>
  <c r="M173" i="59"/>
  <c r="M138" i="59"/>
  <c r="M188" i="59"/>
  <c r="M211" i="59"/>
  <c r="M169" i="59"/>
  <c r="M135" i="59"/>
  <c r="M202" i="59"/>
  <c r="M215" i="59"/>
  <c r="M193" i="59"/>
  <c r="M185" i="59"/>
  <c r="M192" i="59"/>
  <c r="M212" i="59"/>
  <c r="M158" i="59"/>
  <c r="M156" i="59"/>
  <c r="M195" i="59"/>
  <c r="M153" i="59"/>
  <c r="M140" i="59"/>
  <c r="M208" i="59"/>
  <c r="M218" i="59"/>
  <c r="M206" i="59"/>
  <c r="M136" i="59"/>
  <c r="M180" i="59"/>
  <c r="M167" i="59"/>
  <c r="M198" i="59"/>
  <c r="M160" i="59"/>
  <c r="M181" i="59"/>
  <c r="M162" i="59"/>
  <c r="M221" i="59"/>
  <c r="M143" i="59"/>
  <c r="M176" i="59"/>
  <c r="M205" i="59"/>
  <c r="M171" i="59"/>
  <c r="M216" i="59"/>
  <c r="M196" i="59"/>
  <c r="M183" i="59"/>
  <c r="CR16" i="60"/>
  <c r="I214" i="59" s="1"/>
  <c r="CI16" i="60"/>
  <c r="I205" i="59" s="1"/>
  <c r="CG16" i="60"/>
  <c r="I203" i="59" s="1"/>
  <c r="CN16" i="60"/>
  <c r="I210" i="59" s="1"/>
  <c r="DC33" i="60" l="1"/>
  <c r="CZ33" i="60" l="1"/>
  <c r="CY33" i="60" l="1"/>
  <c r="CW33" i="60"/>
  <c r="CU33" i="60"/>
  <c r="DA33" i="60"/>
  <c r="CX33" i="60"/>
  <c r="CG33" i="60"/>
  <c r="CV33" i="60" l="1"/>
  <c r="CT33" i="60"/>
  <c r="CS33" i="60"/>
  <c r="C21" i="52" l="1"/>
  <c r="C28" i="52" l="1"/>
  <c r="C108" i="52"/>
  <c r="C128" i="52"/>
  <c r="F204" i="52"/>
  <c r="C204" i="52" s="1"/>
  <c r="C37" i="52"/>
  <c r="C101" i="52"/>
  <c r="C81" i="52"/>
  <c r="C30" i="52"/>
  <c r="C94" i="52"/>
  <c r="C112" i="52"/>
  <c r="C63" i="52"/>
  <c r="C127" i="52"/>
  <c r="F201" i="52"/>
  <c r="C201" i="52" s="1"/>
  <c r="C116" i="52"/>
  <c r="C65" i="52"/>
  <c r="C42" i="52"/>
  <c r="C106" i="52"/>
  <c r="C84" i="52"/>
  <c r="C85" i="52"/>
  <c r="F154" i="52"/>
  <c r="C154" i="52" s="1"/>
  <c r="C86" i="52"/>
  <c r="C55" i="52"/>
  <c r="C98" i="52"/>
  <c r="C38" i="52"/>
  <c r="C49" i="52"/>
  <c r="C32" i="52"/>
  <c r="C97" i="52"/>
  <c r="C24" i="52"/>
  <c r="F241" i="52"/>
  <c r="C241" i="52" s="1"/>
  <c r="C50" i="52"/>
  <c r="C114" i="52"/>
  <c r="C124" i="52"/>
  <c r="C47" i="52"/>
  <c r="C29" i="52"/>
  <c r="C88" i="52"/>
  <c r="C119" i="52"/>
  <c r="C60" i="52"/>
  <c r="C45" i="52"/>
  <c r="C71" i="52"/>
  <c r="C53" i="52"/>
  <c r="C117" i="52"/>
  <c r="C59" i="52"/>
  <c r="C46" i="52"/>
  <c r="C89" i="52"/>
  <c r="C79" i="52"/>
  <c r="C56" i="52"/>
  <c r="C121" i="52"/>
  <c r="C35" i="52"/>
  <c r="C51" i="52"/>
  <c r="C58" i="52"/>
  <c r="C96" i="52"/>
  <c r="C90" i="52"/>
  <c r="C93" i="52"/>
  <c r="C34" i="52"/>
  <c r="C102" i="52"/>
  <c r="C125" i="52"/>
  <c r="F182" i="52"/>
  <c r="C182" i="52" s="1"/>
  <c r="C118" i="52"/>
  <c r="C23" i="52"/>
  <c r="C87" i="52"/>
  <c r="C80" i="52"/>
  <c r="C43" i="52"/>
  <c r="C91" i="52"/>
  <c r="C99" i="52"/>
  <c r="C66" i="52"/>
  <c r="C27" i="52"/>
  <c r="C78" i="52"/>
  <c r="C22" i="52"/>
  <c r="C57" i="52"/>
  <c r="C109" i="52"/>
  <c r="C61" i="52"/>
  <c r="C69" i="52"/>
  <c r="C48" i="52"/>
  <c r="C44" i="52"/>
  <c r="C62" i="52"/>
  <c r="C126" i="52"/>
  <c r="C31" i="52"/>
  <c r="C95" i="52"/>
  <c r="C104" i="52"/>
  <c r="C75" i="52"/>
  <c r="C36" i="52"/>
  <c r="C52" i="52"/>
  <c r="C74" i="52"/>
  <c r="C67" i="52"/>
  <c r="C64" i="52"/>
  <c r="C25" i="52"/>
  <c r="C123" i="52"/>
  <c r="C41" i="52"/>
  <c r="C33" i="52"/>
  <c r="C105" i="52"/>
  <c r="C107" i="52"/>
  <c r="C77" i="52"/>
  <c r="C72" i="52"/>
  <c r="C68" i="52"/>
  <c r="C70" i="52"/>
  <c r="C40" i="52"/>
  <c r="C39" i="52"/>
  <c r="C103" i="52"/>
  <c r="C120" i="52"/>
  <c r="C115" i="52"/>
  <c r="C92" i="52"/>
  <c r="C100" i="52"/>
  <c r="C82" i="52"/>
  <c r="C83" i="52"/>
  <c r="G239" i="52"/>
  <c r="F156" i="52"/>
  <c r="C156" i="52" s="1"/>
  <c r="G250" i="52"/>
  <c r="G238" i="52"/>
  <c r="F152" i="52" l="1"/>
  <c r="C152" i="52" s="1"/>
  <c r="F179" i="52"/>
  <c r="C179" i="52" s="1"/>
  <c r="F158" i="52"/>
  <c r="C158" i="52" s="1"/>
  <c r="F229" i="52"/>
  <c r="C229" i="52" s="1"/>
  <c r="F191" i="52"/>
  <c r="C191" i="52" s="1"/>
  <c r="C256" i="52"/>
  <c r="F213" i="52"/>
  <c r="C213" i="52" s="1"/>
  <c r="C76" i="52"/>
  <c r="F225" i="52"/>
  <c r="C225" i="52" s="1"/>
  <c r="F237" i="52"/>
  <c r="C237" i="52" s="1"/>
  <c r="F244" i="52"/>
  <c r="C244" i="52" s="1"/>
  <c r="F183" i="52"/>
  <c r="C183" i="52" s="1"/>
  <c r="F157" i="52"/>
  <c r="C157" i="52" s="1"/>
  <c r="C54" i="52"/>
  <c r="F239" i="52"/>
  <c r="C239" i="52" s="1"/>
  <c r="F166" i="52"/>
  <c r="C166" i="52" s="1"/>
  <c r="F170" i="52"/>
  <c r="C170" i="52" s="1"/>
  <c r="C73" i="52"/>
  <c r="F165" i="52"/>
  <c r="C165" i="52" s="1"/>
  <c r="F216" i="52"/>
  <c r="C216" i="52" s="1"/>
  <c r="F186" i="52"/>
  <c r="C186" i="52" s="1"/>
  <c r="C122" i="52"/>
  <c r="F214" i="52"/>
  <c r="C214" i="52" s="1"/>
  <c r="C113" i="52"/>
  <c r="C26" i="52"/>
  <c r="C110" i="52"/>
  <c r="C111" i="52"/>
  <c r="G178" i="52"/>
  <c r="G195" i="52"/>
  <c r="G222" i="52"/>
  <c r="G181" i="52"/>
  <c r="G209" i="52"/>
  <c r="G182" i="52"/>
  <c r="G214" i="52"/>
  <c r="G180" i="52"/>
  <c r="G248" i="52"/>
  <c r="G254" i="52"/>
  <c r="G232" i="52"/>
  <c r="G212" i="52"/>
  <c r="G201" i="52"/>
  <c r="G229" i="52"/>
  <c r="G185" i="52"/>
  <c r="G192" i="52"/>
  <c r="G223" i="52"/>
  <c r="G184" i="52"/>
  <c r="G231" i="52"/>
  <c r="G197" i="52"/>
  <c r="G234" i="52"/>
  <c r="G245" i="52"/>
  <c r="G194" i="52"/>
  <c r="G227" i="52"/>
  <c r="G188" i="52"/>
  <c r="G221" i="52"/>
  <c r="G249" i="52"/>
  <c r="G236" i="52"/>
  <c r="G211" i="52"/>
  <c r="G215" i="52"/>
  <c r="F194" i="52"/>
  <c r="C194" i="52" s="1"/>
  <c r="G199" i="52"/>
  <c r="G241" i="52"/>
  <c r="G190" i="52"/>
  <c r="G255" i="52"/>
  <c r="G247" i="52"/>
  <c r="G246" i="52"/>
  <c r="G206" i="52"/>
  <c r="G187" i="52"/>
  <c r="G233" i="52"/>
  <c r="G208" i="52"/>
  <c r="G191" i="52"/>
  <c r="G226" i="52"/>
  <c r="G183" i="52"/>
  <c r="G217" i="52"/>
  <c r="G224" i="52"/>
  <c r="G210" i="52"/>
  <c r="G198" i="52"/>
  <c r="G253" i="52"/>
  <c r="F187" i="52"/>
  <c r="C187" i="52" s="1"/>
  <c r="G243" i="52"/>
  <c r="G252" i="52"/>
  <c r="G237" i="52"/>
  <c r="G193" i="52"/>
  <c r="G251" i="52"/>
  <c r="G213" i="52"/>
  <c r="F219" i="52"/>
  <c r="C219" i="52" s="1"/>
  <c r="G179" i="52"/>
  <c r="G230" i="52"/>
  <c r="G225" i="52"/>
  <c r="G235" i="52"/>
  <c r="G240" i="52"/>
  <c r="G203" i="52"/>
  <c r="G256" i="52"/>
  <c r="G228" i="52"/>
  <c r="G200" i="52"/>
  <c r="G186" i="52"/>
  <c r="G242" i="52"/>
  <c r="G244" i="52"/>
  <c r="G219" i="52"/>
  <c r="G216" i="52"/>
  <c r="G205" i="52"/>
  <c r="G218" i="52"/>
  <c r="G189" i="52"/>
  <c r="G220" i="52"/>
  <c r="G202" i="52"/>
  <c r="G204" i="52"/>
  <c r="G196" i="52"/>
  <c r="G207" i="52"/>
  <c r="F190" i="52"/>
  <c r="C190" i="52" s="1"/>
  <c r="F251" i="52"/>
  <c r="F230" i="52"/>
  <c r="F242" i="52"/>
  <c r="C242" i="52" s="1"/>
  <c r="F224" i="52"/>
  <c r="F245" i="52"/>
  <c r="F159" i="52"/>
  <c r="C159" i="52" s="1"/>
  <c r="F217" i="52"/>
  <c r="C217" i="52" s="1"/>
  <c r="F176" i="52"/>
  <c r="C176" i="52" s="1"/>
  <c r="F151" i="52"/>
  <c r="C151" i="52" s="1"/>
  <c r="F178" i="52"/>
  <c r="C178" i="52" s="1"/>
  <c r="F193" i="52"/>
  <c r="C193" i="52" s="1"/>
  <c r="F150" i="52"/>
  <c r="C150" i="52" s="1"/>
  <c r="C254" i="52"/>
  <c r="F181" i="52"/>
  <c r="C181" i="52" s="1"/>
  <c r="F162" i="52"/>
  <c r="C162" i="52" s="1"/>
  <c r="F249" i="52"/>
  <c r="C249" i="52" s="1"/>
  <c r="F240" i="52"/>
  <c r="C240" i="52" s="1"/>
  <c r="F236" i="52"/>
  <c r="C236" i="52" s="1"/>
  <c r="C252" i="52"/>
  <c r="F161" i="52"/>
  <c r="C161" i="52" s="1"/>
  <c r="F243" i="52"/>
  <c r="C243" i="52" s="1"/>
  <c r="F208" i="52"/>
  <c r="C208" i="52" s="1"/>
  <c r="F212" i="52"/>
  <c r="C212" i="52" s="1"/>
  <c r="F199" i="52"/>
  <c r="C199" i="52" s="1"/>
  <c r="F177" i="52"/>
  <c r="C177" i="52" s="1"/>
  <c r="F222" i="52"/>
  <c r="C222" i="52" s="1"/>
  <c r="F205" i="52"/>
  <c r="C205" i="52" s="1"/>
  <c r="F206" i="52"/>
  <c r="C206" i="52" s="1"/>
  <c r="F180" i="52"/>
  <c r="C180" i="52" s="1"/>
  <c r="F215" i="52"/>
  <c r="C215" i="52" s="1"/>
  <c r="F234" i="52"/>
  <c r="C234" i="52" s="1"/>
  <c r="F207" i="52"/>
  <c r="C207" i="52" s="1"/>
  <c r="F172" i="52"/>
  <c r="C172" i="52" s="1"/>
  <c r="F250" i="52"/>
  <c r="F226" i="52"/>
  <c r="C226" i="52" s="1"/>
  <c r="F247" i="52"/>
  <c r="C247" i="52" s="1"/>
  <c r="F238" i="52"/>
  <c r="C238" i="52" s="1"/>
  <c r="F169" i="52"/>
  <c r="C169" i="52" s="1"/>
  <c r="F195" i="52"/>
  <c r="C195" i="52" s="1"/>
  <c r="F168" i="52"/>
  <c r="C168" i="52" s="1"/>
  <c r="F192" i="52"/>
  <c r="C192" i="52" s="1"/>
  <c r="F198" i="52"/>
  <c r="C198" i="52" s="1"/>
  <c r="F235" i="52"/>
  <c r="C235" i="52" s="1"/>
  <c r="F185" i="52"/>
  <c r="C185" i="52" s="1"/>
  <c r="F171" i="52"/>
  <c r="C171" i="52" s="1"/>
  <c r="F196" i="52"/>
  <c r="C196" i="52" s="1"/>
  <c r="F248" i="52"/>
  <c r="C248" i="52" s="1"/>
  <c r="F197" i="52"/>
  <c r="C197" i="52" s="1"/>
  <c r="F163" i="52"/>
  <c r="C163" i="52" s="1"/>
  <c r="F155" i="52"/>
  <c r="C155" i="52" s="1"/>
  <c r="F174" i="52"/>
  <c r="C174" i="52" s="1"/>
  <c r="F164" i="52"/>
  <c r="C164" i="52" s="1"/>
  <c r="F211" i="52"/>
  <c r="C211" i="52" s="1"/>
  <c r="F233" i="52"/>
  <c r="C233" i="52" s="1"/>
  <c r="F153" i="52"/>
  <c r="C153" i="52" s="1"/>
  <c r="F175" i="52"/>
  <c r="C175" i="52" s="1"/>
  <c r="F167" i="52"/>
  <c r="C167" i="52" s="1"/>
  <c r="F232" i="52"/>
  <c r="C232" i="52" s="1"/>
  <c r="F218" i="52"/>
  <c r="C218" i="52" s="1"/>
  <c r="C253" i="52"/>
  <c r="F160" i="52"/>
  <c r="C160" i="52" s="1"/>
  <c r="F223" i="52"/>
  <c r="C223" i="52" s="1"/>
  <c r="F202" i="52"/>
  <c r="C202" i="52" s="1"/>
  <c r="F189" i="52"/>
  <c r="C189" i="52" s="1"/>
  <c r="F227" i="52"/>
  <c r="C227" i="52" s="1"/>
  <c r="C255" i="52"/>
  <c r="F209" i="52"/>
  <c r="C209" i="52" s="1"/>
  <c r="F246" i="52"/>
  <c r="C246" i="52" s="1"/>
  <c r="F210" i="52"/>
  <c r="C210" i="52" s="1"/>
  <c r="F203" i="52"/>
  <c r="C203" i="52" s="1"/>
  <c r="F184" i="52"/>
  <c r="C184" i="52" s="1"/>
  <c r="F231" i="52"/>
  <c r="C231" i="52" s="1"/>
  <c r="F200" i="52"/>
  <c r="C200" i="52" s="1"/>
  <c r="F228" i="52"/>
  <c r="C228" i="52" s="1"/>
  <c r="F173" i="52"/>
  <c r="C173" i="52" s="1"/>
  <c r="F188" i="52"/>
  <c r="C188" i="52" s="1"/>
  <c r="F221" i="52"/>
  <c r="C221" i="52" s="1"/>
  <c r="F220" i="52"/>
  <c r="C220" i="52" s="1"/>
  <c r="O13" i="52"/>
  <c r="C250" i="52" l="1"/>
  <c r="C251" i="52"/>
  <c r="C245" i="52"/>
  <c r="C230" i="52"/>
  <c r="C224" i="52"/>
  <c r="N148" i="52"/>
  <c r="R249" i="59" l="1"/>
  <c r="S249" i="59"/>
  <c r="T249" i="59"/>
  <c r="U249" i="59"/>
  <c r="V249" i="59"/>
  <c r="W249" i="59"/>
  <c r="X249" i="59"/>
  <c r="Q249" i="59"/>
  <c r="I13" i="52" l="1"/>
  <c r="J13" i="52"/>
  <c r="K13" i="52"/>
  <c r="L13" i="52"/>
  <c r="J20" i="52"/>
  <c r="J5" i="51"/>
  <c r="J6" i="51" s="1"/>
  <c r="J7" i="51" s="1"/>
  <c r="J8" i="51" s="1"/>
  <c r="J9" i="51" s="1"/>
  <c r="J10" i="51" s="1"/>
  <c r="J11" i="51" s="1"/>
  <c r="J12" i="51" s="1"/>
  <c r="J13" i="51" s="1"/>
  <c r="J14" i="51" s="1"/>
  <c r="J15" i="51" s="1"/>
  <c r="J16" i="51" s="1"/>
  <c r="J17" i="51" s="1"/>
  <c r="J18" i="51" s="1"/>
  <c r="J19" i="51" s="1"/>
  <c r="J20" i="51" s="1"/>
  <c r="J21" i="51" s="1"/>
  <c r="J22" i="51" s="1"/>
  <c r="J23" i="51" s="1"/>
  <c r="J24" i="51" s="1"/>
  <c r="J25" i="51" s="1"/>
  <c r="J26" i="51" s="1"/>
  <c r="J27" i="51" s="1"/>
  <c r="J28" i="51" s="1"/>
  <c r="J29" i="51" s="1"/>
  <c r="J30" i="51" s="1"/>
  <c r="J31" i="51" s="1"/>
  <c r="J32" i="51" s="1"/>
  <c r="J33" i="51" s="1"/>
  <c r="J34" i="51" s="1"/>
  <c r="J35" i="51" s="1"/>
  <c r="J36" i="51" s="1"/>
  <c r="J37" i="51" s="1"/>
  <c r="J38" i="51" s="1"/>
  <c r="J39" i="51" s="1"/>
  <c r="J40" i="51" s="1"/>
  <c r="J41" i="51" s="1"/>
  <c r="J42" i="51" s="1"/>
  <c r="J43" i="51" s="1"/>
  <c r="J44" i="51" s="1"/>
  <c r="J45" i="51" s="1"/>
  <c r="J46" i="51" s="1"/>
  <c r="J47" i="51" s="1"/>
  <c r="J48" i="51" s="1"/>
  <c r="J49" i="51" s="1"/>
  <c r="J50" i="51" s="1"/>
  <c r="J51" i="51" s="1"/>
  <c r="J52" i="51" s="1"/>
  <c r="J53" i="51" s="1"/>
  <c r="J54" i="51" s="1"/>
  <c r="J55" i="51" s="1"/>
  <c r="J56" i="51" s="1"/>
  <c r="J57" i="51" s="1"/>
  <c r="J58" i="51" s="1"/>
  <c r="J59" i="51" s="1"/>
  <c r="J60" i="51" s="1"/>
  <c r="J61" i="51" s="1"/>
  <c r="J62" i="51" s="1"/>
  <c r="J63" i="51" s="1"/>
  <c r="J64" i="51" s="1"/>
  <c r="J65" i="51" s="1"/>
  <c r="J66" i="51" s="1"/>
  <c r="J67" i="51" s="1"/>
  <c r="J68" i="51" s="1"/>
  <c r="J69" i="51" s="1"/>
  <c r="J70" i="51" s="1"/>
  <c r="J71" i="51" s="1"/>
  <c r="J72" i="51" s="1"/>
  <c r="J73" i="51" s="1"/>
  <c r="J74" i="51" s="1"/>
  <c r="J75" i="51" s="1"/>
  <c r="J76" i="51" s="1"/>
  <c r="J77" i="51" s="1"/>
  <c r="J78" i="51" s="1"/>
  <c r="J79" i="51" s="1"/>
  <c r="J80" i="51" s="1"/>
  <c r="J81" i="51" s="1"/>
  <c r="J82" i="51" s="1"/>
  <c r="J83" i="51" s="1"/>
  <c r="J84" i="51" s="1"/>
  <c r="J85" i="51" s="1"/>
  <c r="J86" i="51" s="1"/>
  <c r="J87" i="51" s="1"/>
  <c r="J88" i="51" s="1"/>
  <c r="J89" i="51" s="1"/>
  <c r="J90" i="51" s="1"/>
  <c r="J91" i="51" s="1"/>
  <c r="J92" i="51" s="1"/>
  <c r="J93" i="51" s="1"/>
  <c r="J94" i="51" s="1"/>
  <c r="J95" i="51" s="1"/>
  <c r="J96" i="51" s="1"/>
  <c r="J97" i="51" s="1"/>
  <c r="J98" i="51" s="1"/>
  <c r="J99" i="51" s="1"/>
  <c r="J100" i="51" s="1"/>
  <c r="J101" i="51" s="1"/>
  <c r="J102" i="51" s="1"/>
  <c r="J103" i="51" s="1"/>
  <c r="J104" i="51" s="1"/>
  <c r="J105" i="51" s="1"/>
  <c r="J106" i="51" s="1"/>
  <c r="J107" i="51" s="1"/>
  <c r="J108" i="51" s="1"/>
  <c r="J109" i="51" s="1"/>
  <c r="J110" i="51" s="1"/>
  <c r="J111" i="51" s="1"/>
  <c r="J112" i="51" s="1"/>
  <c r="J113" i="51" s="1"/>
  <c r="J114" i="51" s="1"/>
  <c r="J115" i="51" s="1"/>
  <c r="J116" i="51" s="1"/>
  <c r="J117" i="51" s="1"/>
  <c r="J118" i="51" s="1"/>
  <c r="J119" i="51" s="1"/>
  <c r="J120" i="51" s="1"/>
  <c r="J121" i="51" s="1"/>
  <c r="J122" i="51" s="1"/>
  <c r="J123" i="51" s="1"/>
  <c r="J124" i="51" s="1"/>
  <c r="J125" i="51" s="1"/>
  <c r="J126" i="51" s="1"/>
  <c r="J127" i="51" s="1"/>
  <c r="J128" i="51" s="1"/>
  <c r="J129" i="51" s="1"/>
  <c r="J130" i="51" s="1"/>
  <c r="J131" i="51" s="1"/>
  <c r="J132" i="51" s="1"/>
  <c r="J133" i="51" s="1"/>
  <c r="J134" i="51" s="1"/>
  <c r="J135" i="51" s="1"/>
  <c r="J136" i="51" s="1"/>
  <c r="J137" i="51" s="1"/>
  <c r="J138" i="51" s="1"/>
  <c r="J139" i="51" s="1"/>
  <c r="J140" i="51" s="1"/>
  <c r="J141" i="51" s="1"/>
  <c r="J142" i="51" s="1"/>
  <c r="J143" i="51" s="1"/>
  <c r="J144" i="51" s="1"/>
  <c r="J145" i="51" s="1"/>
  <c r="J146" i="51" s="1"/>
  <c r="J147" i="51" s="1"/>
  <c r="J148" i="51" s="1"/>
  <c r="J149" i="51" s="1"/>
  <c r="J150" i="51" s="1"/>
  <c r="J151" i="51" s="1"/>
  <c r="J152" i="51" s="1"/>
  <c r="J153" i="51" s="1"/>
  <c r="J154" i="51" s="1"/>
  <c r="J155" i="51" s="1"/>
  <c r="J156" i="51" s="1"/>
  <c r="J157" i="51" s="1"/>
  <c r="J158" i="51" s="1"/>
  <c r="J159" i="51" s="1"/>
  <c r="J160" i="51" s="1"/>
  <c r="J161" i="51" s="1"/>
  <c r="J162" i="51" s="1"/>
  <c r="J163" i="51" s="1"/>
  <c r="J164" i="51" s="1"/>
  <c r="J165" i="51" s="1"/>
  <c r="J166" i="51" s="1"/>
  <c r="J167" i="51" s="1"/>
  <c r="J168" i="51" s="1"/>
  <c r="J169" i="51" s="1"/>
  <c r="J170" i="51" s="1"/>
  <c r="J171" i="51" s="1"/>
  <c r="J172" i="51" s="1"/>
  <c r="J173" i="51" s="1"/>
  <c r="J174" i="51" s="1"/>
  <c r="J175" i="51" s="1"/>
  <c r="J176" i="51" s="1"/>
  <c r="J177" i="51" s="1"/>
  <c r="J178" i="51" s="1"/>
  <c r="G73" i="51"/>
  <c r="G74" i="51" s="1"/>
  <c r="G75" i="51" s="1"/>
  <c r="G76" i="51" s="1"/>
  <c r="G77" i="51" s="1"/>
  <c r="G78" i="51" s="1"/>
  <c r="G79" i="51" s="1"/>
  <c r="G80" i="51" s="1"/>
  <c r="G81" i="51" s="1"/>
  <c r="G82" i="51" s="1"/>
  <c r="G83" i="51" s="1"/>
  <c r="G84" i="51" s="1"/>
  <c r="G85" i="51" s="1"/>
  <c r="G86" i="51" s="1"/>
  <c r="G87" i="51" s="1"/>
  <c r="G88" i="51" s="1"/>
  <c r="G89" i="51" s="1"/>
  <c r="G90" i="51" s="1"/>
  <c r="G91" i="51" s="1"/>
  <c r="G92" i="51" s="1"/>
  <c r="G93" i="51" s="1"/>
  <c r="G94" i="51" s="1"/>
  <c r="G95" i="51" s="1"/>
  <c r="G96" i="51" s="1"/>
  <c r="G97" i="51" s="1"/>
  <c r="G98" i="51" s="1"/>
  <c r="G99" i="51" s="1"/>
  <c r="G100" i="51" s="1"/>
  <c r="G101" i="51" s="1"/>
  <c r="G102" i="51" s="1"/>
  <c r="G103" i="51" s="1"/>
  <c r="G104" i="51" s="1"/>
  <c r="G105" i="51" s="1"/>
  <c r="G106" i="51" s="1"/>
  <c r="G107" i="51" s="1"/>
  <c r="G108" i="51" s="1"/>
  <c r="G109" i="51" s="1"/>
  <c r="G110" i="51" s="1"/>
  <c r="G111" i="51" s="1"/>
  <c r="G112" i="51" s="1"/>
  <c r="G113" i="51" s="1"/>
  <c r="G114" i="51" s="1"/>
  <c r="G115" i="51" s="1"/>
  <c r="G116" i="51" s="1"/>
  <c r="G117" i="51" s="1"/>
  <c r="G118" i="51" s="1"/>
  <c r="G119" i="51" s="1"/>
  <c r="G120" i="51" s="1"/>
  <c r="G121" i="51" s="1"/>
  <c r="G122" i="51" s="1"/>
  <c r="G123" i="51" s="1"/>
  <c r="G124" i="51" s="1"/>
  <c r="G125" i="51" s="1"/>
  <c r="G126" i="51" s="1"/>
  <c r="G127" i="51" s="1"/>
  <c r="G128" i="51" s="1"/>
  <c r="G129" i="51" s="1"/>
  <c r="G130" i="51" s="1"/>
  <c r="G131" i="51" s="1"/>
  <c r="G132" i="51" s="1"/>
  <c r="G133" i="51" s="1"/>
  <c r="G134" i="51" s="1"/>
  <c r="G135" i="51" s="1"/>
  <c r="G136" i="51" s="1"/>
  <c r="G137" i="51" s="1"/>
  <c r="G138" i="51" s="1"/>
  <c r="G139" i="51" s="1"/>
  <c r="G140" i="51" s="1"/>
  <c r="G141" i="51" s="1"/>
  <c r="G142" i="51" s="1"/>
  <c r="G143" i="51" s="1"/>
  <c r="G144" i="51" s="1"/>
  <c r="G145" i="51" s="1"/>
  <c r="G146" i="51" s="1"/>
  <c r="G147" i="51" s="1"/>
  <c r="G148" i="51" s="1"/>
  <c r="G149" i="51" s="1"/>
  <c r="G150" i="51" s="1"/>
  <c r="G151" i="51" s="1"/>
  <c r="G152" i="51" s="1"/>
  <c r="G153" i="51" s="1"/>
  <c r="G154" i="51" s="1"/>
  <c r="G155" i="51" s="1"/>
  <c r="G156" i="51" s="1"/>
  <c r="G157" i="51" s="1"/>
  <c r="G158" i="51" s="1"/>
  <c r="G159" i="51" s="1"/>
  <c r="G160" i="51" s="1"/>
  <c r="G161" i="51" s="1"/>
  <c r="G162" i="51" s="1"/>
  <c r="G163" i="51" s="1"/>
  <c r="G164" i="51" s="1"/>
  <c r="G165" i="51" s="1"/>
  <c r="G166" i="51" s="1"/>
  <c r="G167" i="51" s="1"/>
  <c r="G168" i="51" s="1"/>
  <c r="G169" i="51" s="1"/>
  <c r="G170" i="51" s="1"/>
  <c r="G171" i="51" s="1"/>
  <c r="G172" i="51" s="1"/>
  <c r="G173" i="51" s="1"/>
  <c r="G174" i="51" s="1"/>
  <c r="G175" i="51" s="1"/>
  <c r="G176" i="51" s="1"/>
  <c r="G177" i="51" s="1"/>
  <c r="G178" i="51" s="1"/>
  <c r="N20" i="52" l="1"/>
  <c r="I20" i="52"/>
  <c r="G177" i="52" l="1"/>
  <c r="G160" i="52"/>
  <c r="G164" i="52"/>
  <c r="G157" i="52"/>
  <c r="G175" i="52"/>
  <c r="G156" i="52"/>
  <c r="G174" i="52"/>
  <c r="G167" i="52"/>
  <c r="G155" i="52"/>
  <c r="G168" i="52"/>
  <c r="G153" i="52"/>
  <c r="G172" i="52"/>
  <c r="G169" i="52"/>
  <c r="G171" i="52"/>
  <c r="G165" i="52"/>
  <c r="G154" i="52"/>
  <c r="G176" i="52"/>
  <c r="G173" i="52"/>
  <c r="G170" i="52"/>
  <c r="G163" i="52"/>
  <c r="G152" i="52"/>
  <c r="G150" i="52"/>
  <c r="G158" i="52"/>
  <c r="G151" i="52"/>
  <c r="G162" i="52"/>
  <c r="G166" i="52"/>
  <c r="G161" i="52"/>
  <c r="G159" i="52"/>
  <c r="M20" i="52" l="1"/>
  <c r="M148" i="52"/>
  <c r="K126" i="59" l="1"/>
  <c r="M127" i="59" l="1"/>
  <c r="F149" i="52"/>
  <c r="J286" i="52" l="1"/>
  <c r="J280" i="52"/>
  <c r="L286" i="52"/>
  <c r="K286" i="52"/>
  <c r="K280" i="52"/>
  <c r="L280" i="52"/>
  <c r="C149" i="52"/>
  <c r="N286" i="52"/>
  <c r="N280" i="52"/>
  <c r="M280" i="52"/>
  <c r="M286" i="52"/>
  <c r="J65" i="63" l="1"/>
  <c r="D50" i="58" l="1"/>
  <c r="J83" i="63" l="1"/>
  <c r="J75" i="63"/>
  <c r="J70" i="63"/>
  <c r="J55" i="63"/>
  <c r="J51" i="63"/>
  <c r="D51" i="63"/>
  <c r="C51" i="63"/>
  <c r="C44" i="63"/>
  <c r="C52" i="63" l="1"/>
  <c r="C55" i="63" s="1"/>
  <c r="C56" i="63" l="1"/>
  <c r="C59" i="63" s="1"/>
  <c r="C60" i="63" s="1"/>
  <c r="C61" i="63" s="1"/>
  <c r="C65" i="63"/>
  <c r="C66" i="63" s="1"/>
  <c r="C69" i="63" s="1"/>
  <c r="C70" i="63" s="1"/>
  <c r="C71" i="63" s="1"/>
  <c r="C72" i="63" s="1"/>
  <c r="C74" i="63" s="1"/>
  <c r="C75" i="63" s="1"/>
  <c r="C76" i="63" s="1"/>
  <c r="C77" i="63" s="1"/>
  <c r="C79" i="63" s="1"/>
  <c r="C80" i="63" s="1"/>
  <c r="C83" i="63" s="1"/>
  <c r="C86" i="63" s="1"/>
  <c r="C87" i="63" s="1"/>
  <c r="C91" i="63" s="1"/>
  <c r="C92" i="63" s="1"/>
  <c r="C93" i="63" l="1"/>
  <c r="C97" i="63"/>
  <c r="J30" i="63"/>
  <c r="M30" i="63" s="1"/>
  <c r="D27" i="63"/>
  <c r="D26" i="63"/>
  <c r="J21" i="63"/>
  <c r="M21" i="63" s="1"/>
  <c r="D18" i="63"/>
  <c r="D17" i="63"/>
  <c r="J12" i="63"/>
  <c r="M12" i="63" s="1"/>
  <c r="D9" i="63"/>
  <c r="D8" i="63"/>
  <c r="C260" i="59" l="1"/>
  <c r="C261" i="59" s="1"/>
  <c r="C262" i="59" s="1"/>
  <c r="C263" i="59" s="1"/>
  <c r="C264" i="59" s="1"/>
  <c r="C265" i="59" s="1"/>
  <c r="E251" i="59"/>
  <c r="C128" i="59" l="1"/>
  <c r="C129" i="59" s="1"/>
  <c r="C130" i="59" s="1"/>
  <c r="C131" i="59" s="1"/>
  <c r="C132" i="59" s="1"/>
  <c r="C133" i="59" s="1"/>
  <c r="C134" i="59" s="1"/>
  <c r="C135" i="59" s="1"/>
  <c r="C136" i="59" s="1"/>
  <c r="C137" i="59" s="1"/>
  <c r="C138" i="59" s="1"/>
  <c r="C139" i="59" s="1"/>
  <c r="C140" i="59" s="1"/>
  <c r="C141" i="59" s="1"/>
  <c r="C142" i="59" s="1"/>
  <c r="C143" i="59" s="1"/>
  <c r="C144" i="59" s="1"/>
  <c r="C145" i="59" s="1"/>
  <c r="C146" i="59" s="1"/>
  <c r="C147" i="59" s="1"/>
  <c r="C148" i="59" s="1"/>
  <c r="C149" i="59" s="1"/>
  <c r="C150" i="59" s="1"/>
  <c r="C151" i="59" s="1"/>
  <c r="C152" i="59" s="1"/>
  <c r="C153" i="59" s="1"/>
  <c r="C154" i="59" s="1"/>
  <c r="C155" i="59" s="1"/>
  <c r="C156" i="59" s="1"/>
  <c r="C157" i="59" s="1"/>
  <c r="C158" i="59" s="1"/>
  <c r="C159" i="59" s="1"/>
  <c r="C160" i="59" s="1"/>
  <c r="C161" i="59" s="1"/>
  <c r="C162" i="59" s="1"/>
  <c r="C163" i="59" s="1"/>
  <c r="C164" i="59" s="1"/>
  <c r="C165" i="59" s="1"/>
  <c r="C166" i="59" s="1"/>
  <c r="C167" i="59" s="1"/>
  <c r="C168" i="59" s="1"/>
  <c r="C169" i="59" s="1"/>
  <c r="C170" i="59" s="1"/>
  <c r="C171" i="59" s="1"/>
  <c r="C172" i="59" s="1"/>
  <c r="C173" i="59" s="1"/>
  <c r="C174" i="59" s="1"/>
  <c r="C175" i="59" s="1"/>
  <c r="C176" i="59" s="1"/>
  <c r="C177" i="59" s="1"/>
  <c r="C178" i="59" s="1"/>
  <c r="C179" i="59" s="1"/>
  <c r="C180" i="59" s="1"/>
  <c r="C181" i="59" s="1"/>
  <c r="C182" i="59" s="1"/>
  <c r="C183" i="59" s="1"/>
  <c r="C184" i="59" s="1"/>
  <c r="C185" i="59" s="1"/>
  <c r="C186" i="59" s="1"/>
  <c r="C187" i="59" s="1"/>
  <c r="C188" i="59" s="1"/>
  <c r="C189" i="59" s="1"/>
  <c r="C190" i="59" s="1"/>
  <c r="C191" i="59" s="1"/>
  <c r="C192" i="59" s="1"/>
  <c r="C193" i="59" s="1"/>
  <c r="C194" i="59" s="1"/>
  <c r="C195" i="59" s="1"/>
  <c r="C196" i="59" s="1"/>
  <c r="C197" i="59" s="1"/>
  <c r="C198" i="59" s="1"/>
  <c r="C199" i="59" s="1"/>
  <c r="C200" i="59" s="1"/>
  <c r="C201" i="59" s="1"/>
  <c r="C202" i="59" s="1"/>
  <c r="C203" i="59" s="1"/>
  <c r="C204" i="59" s="1"/>
  <c r="C205" i="59" s="1"/>
  <c r="C206" i="59" s="1"/>
  <c r="C207" i="59" s="1"/>
  <c r="C208" i="59" s="1"/>
  <c r="C209" i="59" s="1"/>
  <c r="C210" i="59" s="1"/>
  <c r="C211" i="59" s="1"/>
  <c r="C212" i="59" s="1"/>
  <c r="C213" i="59" s="1"/>
  <c r="C214" i="59" s="1"/>
  <c r="C215" i="59" s="1"/>
  <c r="C216" i="59" s="1"/>
  <c r="C217" i="59" s="1"/>
  <c r="C218" i="59" s="1"/>
  <c r="C219" i="59" s="1"/>
  <c r="C220" i="59" s="1"/>
  <c r="C221" i="59" s="1"/>
  <c r="C222" i="59" s="1"/>
  <c r="C223" i="59" s="1"/>
  <c r="C224" i="59" s="1"/>
  <c r="C225" i="59" s="1"/>
  <c r="C226" i="59" s="1"/>
  <c r="C227" i="59" s="1"/>
  <c r="C228" i="59" s="1"/>
  <c r="C229" i="59" s="1"/>
  <c r="C230" i="59" s="1"/>
  <c r="C231" i="59" s="1"/>
  <c r="C232" i="59" s="1"/>
  <c r="C233" i="59" s="1"/>
  <c r="C234" i="59" s="1"/>
  <c r="C235" i="59" s="1"/>
  <c r="C236" i="59" s="1"/>
  <c r="C237" i="59" s="1"/>
  <c r="C238" i="59" s="1"/>
  <c r="C239" i="59" s="1"/>
  <c r="C240" i="59" s="1"/>
  <c r="C241" i="59" s="1"/>
  <c r="C242" i="59" s="1"/>
  <c r="C243" i="59" s="1"/>
  <c r="C244" i="59" s="1"/>
  <c r="C245" i="59" s="1"/>
  <c r="C246" i="59" s="1"/>
  <c r="C9" i="59"/>
  <c r="C10" i="59" s="1"/>
  <c r="C11" i="59" s="1"/>
  <c r="C12" i="59" s="1"/>
  <c r="C13" i="59" s="1"/>
  <c r="C14" i="59" s="1"/>
  <c r="C15" i="59" s="1"/>
  <c r="C16" i="59" s="1"/>
  <c r="C17" i="59" s="1"/>
  <c r="C18" i="59" s="1"/>
  <c r="C19" i="59" s="1"/>
  <c r="C20" i="59" s="1"/>
  <c r="C21" i="59" s="1"/>
  <c r="C22" i="59" l="1"/>
  <c r="C23" i="59" s="1"/>
  <c r="C24" i="59" s="1"/>
  <c r="C25" i="59" s="1"/>
  <c r="C26" i="59" s="1"/>
  <c r="C27" i="59" s="1"/>
  <c r="C28" i="59" s="1"/>
  <c r="C29" i="59" s="1"/>
  <c r="C30" i="59" s="1"/>
  <c r="C31" i="59" s="1"/>
  <c r="C32" i="59" s="1"/>
  <c r="C33" i="59" s="1"/>
  <c r="C34" i="59" s="1"/>
  <c r="C35" i="59" s="1"/>
  <c r="C36" i="59" s="1"/>
  <c r="C37" i="59" s="1"/>
  <c r="C38" i="59" s="1"/>
  <c r="C39" i="59" s="1"/>
  <c r="C40" i="59" s="1"/>
  <c r="C41" i="59" s="1"/>
  <c r="C42" i="59" s="1"/>
  <c r="C43" i="59" s="1"/>
  <c r="C44" i="59" s="1"/>
  <c r="C45" i="59" s="1"/>
  <c r="C46" i="59" s="1"/>
  <c r="C47" i="59" s="1"/>
  <c r="C48" i="59" s="1"/>
  <c r="C49" i="59" s="1"/>
  <c r="C50" i="59" s="1"/>
  <c r="C51" i="59" s="1"/>
  <c r="C52" i="59" s="1"/>
  <c r="C53" i="59" s="1"/>
  <c r="C54" i="59" s="1"/>
  <c r="C55" i="59" s="1"/>
  <c r="C56" i="59" s="1"/>
  <c r="C57" i="59" s="1"/>
  <c r="C58" i="59" s="1"/>
  <c r="C59" i="59" s="1"/>
  <c r="C60" i="59" s="1"/>
  <c r="C61" i="59" s="1"/>
  <c r="C62" i="59" s="1"/>
  <c r="C63" i="59" s="1"/>
  <c r="C64" i="59" s="1"/>
  <c r="C65" i="59" s="1"/>
  <c r="C66" i="59" s="1"/>
  <c r="C67" i="59" s="1"/>
  <c r="C68" i="59" s="1"/>
  <c r="C69" i="59" s="1"/>
  <c r="C70" i="59" s="1"/>
  <c r="C71" i="59" s="1"/>
  <c r="C72" i="59" s="1"/>
  <c r="C73" i="59" s="1"/>
  <c r="C74" i="59" s="1"/>
  <c r="C75" i="59" s="1"/>
  <c r="C76" i="59" s="1"/>
  <c r="C77" i="59" s="1"/>
  <c r="C78" i="59" s="1"/>
  <c r="C79" i="59" s="1"/>
  <c r="C80" i="59" s="1"/>
  <c r="C81" i="59" s="1"/>
  <c r="C82" i="59" s="1"/>
  <c r="C83" i="59" s="1"/>
  <c r="C84" i="59" s="1"/>
  <c r="C85" i="59" s="1"/>
  <c r="C86" i="59" s="1"/>
  <c r="C87" i="59" s="1"/>
  <c r="C88" i="59" s="1"/>
  <c r="C89" i="59" s="1"/>
  <c r="C90" i="59" s="1"/>
  <c r="C91" i="59" s="1"/>
  <c r="C92" i="59" s="1"/>
  <c r="C93" i="59" s="1"/>
  <c r="C94" i="59" s="1"/>
  <c r="C95" i="59" s="1"/>
  <c r="C96" i="59" s="1"/>
  <c r="C97" i="59" s="1"/>
  <c r="C98" i="59" s="1"/>
  <c r="C99" i="59" s="1"/>
  <c r="C100" i="59" s="1"/>
  <c r="C101" i="59" s="1"/>
  <c r="C102" i="59" s="1"/>
  <c r="C103" i="59" s="1"/>
  <c r="C104" i="59" s="1"/>
  <c r="C105" i="59" s="1"/>
  <c r="C106" i="59" s="1"/>
  <c r="C107" i="59" s="1"/>
  <c r="C108" i="59" s="1"/>
  <c r="C109" i="59" s="1"/>
  <c r="C110" i="59" s="1"/>
  <c r="C111" i="59" s="1"/>
  <c r="C112" i="59" s="1"/>
  <c r="C113" i="59" s="1"/>
  <c r="C114" i="59" s="1"/>
  <c r="C115" i="59" s="1"/>
  <c r="C116" i="59" s="1"/>
  <c r="C117" i="59" s="1"/>
  <c r="C118" i="59" s="1"/>
  <c r="C119" i="59" s="1"/>
  <c r="C120" i="59" s="1"/>
  <c r="C121" i="59" s="1"/>
  <c r="C13" i="58" l="1"/>
  <c r="C16" i="58" s="1"/>
  <c r="C19" i="58" s="1"/>
  <c r="C26" i="58" s="1"/>
  <c r="C32" i="58" s="1"/>
  <c r="C41" i="58" s="1"/>
  <c r="CH33" i="60" l="1"/>
  <c r="CL33" i="60"/>
  <c r="CQ33" i="60"/>
  <c r="CP33" i="60"/>
  <c r="CK33" i="60"/>
  <c r="CJ33" i="60"/>
  <c r="CM33" i="60"/>
  <c r="CR33" i="60"/>
  <c r="CN33" i="60"/>
  <c r="CO33" i="60"/>
  <c r="CI33" i="60"/>
  <c r="J64" i="63"/>
  <c r="J76" i="63"/>
  <c r="D150" i="52" l="1"/>
  <c r="D151" i="52" s="1"/>
  <c r="D152" i="52" s="1"/>
  <c r="D153" i="52" s="1"/>
  <c r="D154" i="52" s="1"/>
  <c r="D155" i="52" s="1"/>
  <c r="D156" i="52" s="1"/>
  <c r="D157" i="52" s="1"/>
  <c r="D158" i="52" s="1"/>
  <c r="D159" i="52" s="1"/>
  <c r="D160" i="52" s="1"/>
  <c r="D161" i="52" s="1"/>
  <c r="D162" i="52" s="1"/>
  <c r="D163" i="52" s="1"/>
  <c r="D164" i="52" s="1"/>
  <c r="D165" i="52" s="1"/>
  <c r="D166" i="52" s="1"/>
  <c r="D167" i="52" s="1"/>
  <c r="D168" i="52" s="1"/>
  <c r="D169" i="52" s="1"/>
  <c r="D170" i="52" s="1"/>
  <c r="D171" i="52" s="1"/>
  <c r="D172" i="52" s="1"/>
  <c r="D173" i="52" s="1"/>
  <c r="D174" i="52" s="1"/>
  <c r="D175" i="52" s="1"/>
  <c r="D176" i="52" s="1"/>
  <c r="D177" i="52" s="1"/>
  <c r="D178" i="52" s="1"/>
  <c r="D179" i="52" s="1"/>
  <c r="D180" i="52" s="1"/>
  <c r="D181" i="52" s="1"/>
  <c r="D182" i="52" s="1"/>
  <c r="D183" i="52" s="1"/>
  <c r="D184" i="52" s="1"/>
  <c r="D185" i="52" s="1"/>
  <c r="D186" i="52" s="1"/>
  <c r="D187" i="52" s="1"/>
  <c r="D188" i="52" s="1"/>
  <c r="D189" i="52" s="1"/>
  <c r="D190" i="52" s="1"/>
  <c r="D191" i="52" s="1"/>
  <c r="D192" i="52" s="1"/>
  <c r="D193" i="52" s="1"/>
  <c r="D194" i="52" s="1"/>
  <c r="D195" i="52" s="1"/>
  <c r="D196" i="52" s="1"/>
  <c r="D197" i="52" s="1"/>
  <c r="D198" i="52" s="1"/>
  <c r="D199" i="52" s="1"/>
  <c r="D200" i="52" s="1"/>
  <c r="D201" i="52" s="1"/>
  <c r="D202" i="52" s="1"/>
  <c r="D203" i="52" s="1"/>
  <c r="D204" i="52" s="1"/>
  <c r="D205" i="52" s="1"/>
  <c r="D206" i="52" s="1"/>
  <c r="D207" i="52" s="1"/>
  <c r="D208" i="52" s="1"/>
  <c r="D209" i="52" s="1"/>
  <c r="D210" i="52" s="1"/>
  <c r="D211" i="52" s="1"/>
  <c r="D212" i="52" s="1"/>
  <c r="D213" i="52" s="1"/>
  <c r="D214" i="52" s="1"/>
  <c r="D215" i="52" s="1"/>
  <c r="D216" i="52" s="1"/>
  <c r="D217" i="52" s="1"/>
  <c r="D218" i="52" s="1"/>
  <c r="D219" i="52" s="1"/>
  <c r="D220" i="52" s="1"/>
  <c r="D221" i="52" s="1"/>
  <c r="D222" i="52" s="1"/>
  <c r="D223" i="52" s="1"/>
  <c r="D224" i="52" s="1"/>
  <c r="D225" i="52" s="1"/>
  <c r="D226" i="52" s="1"/>
  <c r="D227" i="52" s="1"/>
  <c r="D228" i="52" s="1"/>
  <c r="D229" i="52" s="1"/>
  <c r="D230" i="52" s="1"/>
  <c r="D231" i="52" s="1"/>
  <c r="D232" i="52" s="1"/>
  <c r="D233" i="52" s="1"/>
  <c r="D234" i="52" s="1"/>
  <c r="D235" i="52" s="1"/>
  <c r="D236" i="52" s="1"/>
  <c r="D237" i="52" s="1"/>
  <c r="D238" i="52" s="1"/>
  <c r="D239" i="52" s="1"/>
  <c r="D240" i="52" s="1"/>
  <c r="D241" i="52" s="1"/>
  <c r="D242" i="52" s="1"/>
  <c r="D243" i="52" s="1"/>
  <c r="D244" i="52" s="1"/>
  <c r="D245" i="52" s="1"/>
  <c r="D246" i="52" s="1"/>
  <c r="D247" i="52" s="1"/>
  <c r="D248" i="52" s="1"/>
  <c r="D249" i="52" s="1"/>
  <c r="D250" i="52" s="1"/>
  <c r="D251" i="52" s="1"/>
  <c r="D252" i="52" s="1"/>
  <c r="D253" i="52" s="1"/>
  <c r="D254" i="52" s="1"/>
  <c r="D255" i="52" s="1"/>
  <c r="D256" i="52" s="1"/>
  <c r="D257" i="52" s="1"/>
  <c r="D258" i="52" s="1"/>
  <c r="D259" i="52" s="1"/>
  <c r="D260" i="52" s="1"/>
  <c r="D261" i="52" s="1"/>
  <c r="D262" i="52" s="1"/>
  <c r="D263" i="52" s="1"/>
  <c r="D264" i="52" s="1"/>
  <c r="D265" i="52" s="1"/>
  <c r="D266" i="52" s="1"/>
  <c r="D267" i="52" s="1"/>
  <c r="D268" i="52" s="1"/>
  <c r="D269" i="52" s="1"/>
  <c r="D270" i="52" s="1"/>
  <c r="D271" i="52" s="1"/>
  <c r="D272" i="52" s="1"/>
  <c r="D273" i="52" s="1"/>
  <c r="D274" i="52" s="1"/>
  <c r="D22" i="52"/>
  <c r="D23" i="52" s="1"/>
  <c r="D24" i="52" s="1"/>
  <c r="D25" i="52" s="1"/>
  <c r="D26" i="52" s="1"/>
  <c r="D27" i="52" s="1"/>
  <c r="D28" i="52" s="1"/>
  <c r="D29" i="52" s="1"/>
  <c r="D30" i="52" s="1"/>
  <c r="D31" i="52" s="1"/>
  <c r="D32" i="52" s="1"/>
  <c r="D33" i="52" s="1"/>
  <c r="D34" i="52" s="1"/>
  <c r="D35" i="52" s="1"/>
  <c r="D36" i="52" s="1"/>
  <c r="D37" i="52" s="1"/>
  <c r="D38" i="52" s="1"/>
  <c r="D39" i="52" s="1"/>
  <c r="D40" i="52" s="1"/>
  <c r="D41" i="52" s="1"/>
  <c r="D42" i="52" s="1"/>
  <c r="D43" i="52" s="1"/>
  <c r="D44" i="52" s="1"/>
  <c r="D45" i="52" s="1"/>
  <c r="D46" i="52" s="1"/>
  <c r="D47" i="52" s="1"/>
  <c r="D48" i="52" s="1"/>
  <c r="D49" i="52" s="1"/>
  <c r="D50" i="52" s="1"/>
  <c r="D51" i="52" s="1"/>
  <c r="D52" i="52" s="1"/>
  <c r="D53" i="52" s="1"/>
  <c r="D54" i="52" s="1"/>
  <c r="D55" i="52" s="1"/>
  <c r="D56" i="52" s="1"/>
  <c r="D57" i="52" s="1"/>
  <c r="D58" i="52" s="1"/>
  <c r="D59" i="52" s="1"/>
  <c r="D60" i="52" s="1"/>
  <c r="D61" i="52" s="1"/>
  <c r="D62" i="52" s="1"/>
  <c r="D63" i="52" s="1"/>
  <c r="D64" i="52" s="1"/>
  <c r="D65" i="52" s="1"/>
  <c r="D66" i="52" s="1"/>
  <c r="D67" i="52" s="1"/>
  <c r="D68" i="52" s="1"/>
  <c r="D69" i="52" s="1"/>
  <c r="D70" i="52" s="1"/>
  <c r="D71" i="52" s="1"/>
  <c r="D72" i="52" s="1"/>
  <c r="D73" i="52" s="1"/>
  <c r="D74" i="52" s="1"/>
  <c r="D75" i="52" s="1"/>
  <c r="D76" i="52" s="1"/>
  <c r="D77" i="52" s="1"/>
  <c r="D78" i="52" s="1"/>
  <c r="D79" i="52" s="1"/>
  <c r="D80" i="52" s="1"/>
  <c r="D81" i="52" s="1"/>
  <c r="D82" i="52" s="1"/>
  <c r="D83" i="52" s="1"/>
  <c r="D84" i="52" s="1"/>
  <c r="D85" i="52" s="1"/>
  <c r="D86" i="52" s="1"/>
  <c r="D87" i="52" s="1"/>
  <c r="D88" i="52" s="1"/>
  <c r="D89" i="52" s="1"/>
  <c r="D90" i="52" s="1"/>
  <c r="D91" i="52" s="1"/>
  <c r="D92" i="52" s="1"/>
  <c r="D93" i="52" s="1"/>
  <c r="D94" i="52" s="1"/>
  <c r="D95" i="52" s="1"/>
  <c r="D96" i="52" s="1"/>
  <c r="D97" i="52" s="1"/>
  <c r="D98" i="52" s="1"/>
  <c r="D99" i="52" s="1"/>
  <c r="D100" i="52" s="1"/>
  <c r="D101" i="52" s="1"/>
  <c r="D102" i="52" s="1"/>
  <c r="D103" i="52" s="1"/>
  <c r="D104" i="52" s="1"/>
  <c r="D105" i="52" s="1"/>
  <c r="D106" i="52" s="1"/>
  <c r="D107" i="52" s="1"/>
  <c r="D108" i="52" s="1"/>
  <c r="D109" i="52" s="1"/>
  <c r="D110" i="52" s="1"/>
  <c r="D111" i="52" s="1"/>
  <c r="D112" i="52" s="1"/>
  <c r="D113" i="52" s="1"/>
  <c r="D114" i="52" s="1"/>
  <c r="D115" i="52" s="1"/>
  <c r="D116" i="52" s="1"/>
  <c r="D117" i="52" s="1"/>
  <c r="D118" i="52" s="1"/>
  <c r="D119" i="52" s="1"/>
  <c r="D120" i="52" s="1"/>
  <c r="D121" i="52" s="1"/>
  <c r="D122" i="52" s="1"/>
  <c r="D123" i="52" s="1"/>
  <c r="D124" i="52" s="1"/>
  <c r="D125" i="52" s="1"/>
  <c r="D126" i="52" s="1"/>
  <c r="D127" i="52" s="1"/>
  <c r="D128" i="52" s="1"/>
  <c r="D129" i="52" s="1"/>
  <c r="D130" i="52" s="1"/>
  <c r="D131" i="52" s="1"/>
  <c r="D132" i="52" s="1"/>
  <c r="D133" i="52" s="1"/>
  <c r="D134" i="52" s="1"/>
  <c r="D135" i="52" s="1"/>
  <c r="D136" i="52" s="1"/>
  <c r="D137" i="52" s="1"/>
  <c r="D138" i="52" s="1"/>
  <c r="D139" i="52" s="1"/>
  <c r="D140" i="52" s="1"/>
  <c r="D141" i="52" s="1"/>
  <c r="L20" i="52" l="1"/>
  <c r="G149" i="52" l="1"/>
  <c r="J284" i="52" l="1"/>
  <c r="J282" i="52"/>
  <c r="L284" i="52"/>
  <c r="K284" i="52"/>
  <c r="L282" i="52"/>
  <c r="K282" i="52"/>
  <c r="N284" i="52"/>
  <c r="N282" i="52"/>
  <c r="M284" i="52"/>
  <c r="M282" i="52"/>
  <c r="I148" i="52" l="1"/>
  <c r="K20" i="52" l="1"/>
  <c r="D5" i="51" l="1"/>
  <c r="D6" i="51" s="1"/>
  <c r="D7" i="51" s="1"/>
  <c r="D8" i="51" s="1"/>
  <c r="D9" i="51" s="1"/>
  <c r="D10" i="51" s="1"/>
  <c r="D11" i="51" s="1"/>
  <c r="D12" i="51" s="1"/>
  <c r="D13" i="51" s="1"/>
  <c r="D14" i="51" s="1"/>
  <c r="D15" i="51" s="1"/>
  <c r="D16" i="51" s="1"/>
  <c r="D17" i="51" s="1"/>
  <c r="D18" i="51" s="1"/>
  <c r="D19" i="51" s="1"/>
  <c r="D20" i="51" s="1"/>
  <c r="D21" i="51" s="1"/>
  <c r="D22" i="51" s="1"/>
  <c r="D23" i="51" s="1"/>
  <c r="D24" i="51" s="1"/>
  <c r="D25" i="51" s="1"/>
  <c r="D26" i="51" s="1"/>
  <c r="D27" i="51" s="1"/>
  <c r="D28" i="51" s="1"/>
  <c r="D29" i="51" s="1"/>
  <c r="D30" i="51" s="1"/>
  <c r="B5" i="51"/>
  <c r="J26" i="63" l="1"/>
  <c r="M26" i="63" s="1"/>
  <c r="J17" i="63"/>
  <c r="M17" i="63" s="1"/>
  <c r="B6" i="51"/>
  <c r="J27" i="63" s="1"/>
  <c r="M27" i="63" s="1"/>
  <c r="J8" i="63"/>
  <c r="M8" i="63" s="1"/>
  <c r="D31" i="51"/>
  <c r="F126" i="47"/>
  <c r="G126" i="47" s="1"/>
  <c r="F127" i="47"/>
  <c r="G127" i="47" s="1"/>
  <c r="F128" i="47"/>
  <c r="G128" i="47" s="1"/>
  <c r="E129" i="47"/>
  <c r="H129" i="47"/>
  <c r="J9" i="63" l="1"/>
  <c r="B7" i="51"/>
  <c r="DD8" i="60" s="1"/>
  <c r="L72" i="93" s="1"/>
  <c r="DE8" i="60"/>
  <c r="L77" i="93" s="1"/>
  <c r="DM8" i="60"/>
  <c r="L81" i="93" s="1"/>
  <c r="DG9" i="60"/>
  <c r="DC8" i="60"/>
  <c r="L76" i="93" s="1"/>
  <c r="DL8" i="60"/>
  <c r="L85" i="93" s="1"/>
  <c r="DQ9" i="60"/>
  <c r="DM9" i="60"/>
  <c r="DD9" i="60"/>
  <c r="DP9" i="60"/>
  <c r="DE9" i="60"/>
  <c r="DC9" i="60"/>
  <c r="DN9" i="60"/>
  <c r="DO8" i="60"/>
  <c r="L78" i="93" s="1"/>
  <c r="DB9" i="60"/>
  <c r="DH9" i="60"/>
  <c r="DL9" i="60"/>
  <c r="DG8" i="60"/>
  <c r="L74" i="93" s="1"/>
  <c r="DJ9" i="60"/>
  <c r="DK9" i="60"/>
  <c r="DP8" i="60"/>
  <c r="L83" i="93" s="1"/>
  <c r="DI9" i="60"/>
  <c r="DN8" i="60"/>
  <c r="L86" i="93" s="1"/>
  <c r="DJ8" i="60"/>
  <c r="L82" i="93" s="1"/>
  <c r="DF8" i="60"/>
  <c r="L69" i="93" s="1"/>
  <c r="J18" i="63"/>
  <c r="M18" i="63" s="1"/>
  <c r="DQ8" i="60"/>
  <c r="L105" i="93" s="1"/>
  <c r="DO9" i="60"/>
  <c r="DF9" i="60"/>
  <c r="M9" i="63"/>
  <c r="D32" i="51"/>
  <c r="F129" i="47"/>
  <c r="E133" i="47" a="1"/>
  <c r="G129" i="47"/>
  <c r="DH8" i="60" l="1"/>
  <c r="L79" i="93" s="1"/>
  <c r="DB8" i="60"/>
  <c r="L71" i="93" s="1"/>
  <c r="DK8" i="60"/>
  <c r="L80" i="93" s="1"/>
  <c r="DI8" i="60"/>
  <c r="L84" i="93" s="1"/>
  <c r="D33" i="51"/>
  <c r="G134" i="47"/>
  <c r="F135" i="47"/>
  <c r="E133" i="47"/>
  <c r="G133" i="47"/>
  <c r="H134" i="47"/>
  <c r="H135" i="47"/>
  <c r="H133" i="47"/>
  <c r="G135" i="47"/>
  <c r="F134" i="47"/>
  <c r="E134" i="47"/>
  <c r="E135" i="47"/>
  <c r="F133" i="47"/>
  <c r="H142" i="47" l="1"/>
  <c r="H143" i="47"/>
  <c r="D34" i="51"/>
  <c r="F143" i="47"/>
  <c r="F142" i="47"/>
  <c r="F136" i="47"/>
  <c r="F141" i="47"/>
  <c r="G143" i="47"/>
  <c r="G141" i="47"/>
  <c r="G136" i="47"/>
  <c r="H141" i="47"/>
  <c r="H136" i="47"/>
  <c r="E136" i="47"/>
  <c r="G142" i="47"/>
  <c r="W9" i="60" l="1"/>
  <c r="CR9" i="60"/>
  <c r="AT8" i="60"/>
  <c r="L55" i="93" s="1"/>
  <c r="CG8" i="60"/>
  <c r="R8" i="60"/>
  <c r="L41" i="93" s="1"/>
  <c r="BA9" i="60"/>
  <c r="AY8" i="60"/>
  <c r="L94" i="93" s="1"/>
  <c r="AB8" i="60"/>
  <c r="AW8" i="60"/>
  <c r="L91" i="93" s="1"/>
  <c r="AZ8" i="60"/>
  <c r="L90" i="93" s="1"/>
  <c r="CN9" i="60"/>
  <c r="CB9" i="60"/>
  <c r="CX9" i="60"/>
  <c r="BE9" i="60"/>
  <c r="BF8" i="60"/>
  <c r="L100" i="93" s="1"/>
  <c r="BZ8" i="60"/>
  <c r="CP8" i="60"/>
  <c r="L33" i="93" s="1"/>
  <c r="AU8" i="60"/>
  <c r="L88" i="93" s="1"/>
  <c r="AF9" i="60"/>
  <c r="AE9" i="60"/>
  <c r="BW8" i="60"/>
  <c r="L28" i="93" s="1"/>
  <c r="AM9" i="60"/>
  <c r="T8" i="60"/>
  <c r="CB8" i="60"/>
  <c r="U8" i="60"/>
  <c r="BA8" i="60"/>
  <c r="L95" i="93" s="1"/>
  <c r="BT8" i="60"/>
  <c r="L26" i="93" s="1"/>
  <c r="CJ8" i="60"/>
  <c r="AR8" i="60"/>
  <c r="L58" i="93" s="1"/>
  <c r="AO9" i="60"/>
  <c r="CE9" i="60"/>
  <c r="BH8" i="60"/>
  <c r="L103" i="93" s="1"/>
  <c r="CY9" i="60"/>
  <c r="O9" i="60"/>
  <c r="BW9" i="60"/>
  <c r="CA8" i="60"/>
  <c r="BK9" i="60"/>
  <c r="AS9" i="60"/>
  <c r="CR8" i="60"/>
  <c r="L36" i="93" s="1"/>
  <c r="CI8" i="60"/>
  <c r="BY8" i="60"/>
  <c r="AJ8" i="60"/>
  <c r="T9" i="60"/>
  <c r="CC8" i="60"/>
  <c r="BZ9" i="60"/>
  <c r="AK9" i="60"/>
  <c r="AO8" i="60"/>
  <c r="L52" i="93" s="1"/>
  <c r="AZ9" i="60"/>
  <c r="AC8" i="60"/>
  <c r="BB9" i="60"/>
  <c r="BM8" i="60"/>
  <c r="L9" i="93" s="1"/>
  <c r="X8" i="60"/>
  <c r="AD8" i="60"/>
  <c r="CF9" i="60"/>
  <c r="AK8" i="60"/>
  <c r="AE8" i="60"/>
  <c r="BN9" i="60"/>
  <c r="L8" i="60"/>
  <c r="L47" i="93" s="1"/>
  <c r="BR9" i="60"/>
  <c r="I9" i="60"/>
  <c r="AQ9" i="60"/>
  <c r="R9" i="60"/>
  <c r="CQ9" i="60"/>
  <c r="BU8" i="60"/>
  <c r="L31" i="93" s="1"/>
  <c r="AT9" i="60"/>
  <c r="CL9" i="60"/>
  <c r="M8" i="60"/>
  <c r="L45" i="93" s="1"/>
  <c r="J9" i="60"/>
  <c r="AL9" i="60"/>
  <c r="BY9" i="60"/>
  <c r="BG8" i="60"/>
  <c r="L98" i="93" s="1"/>
  <c r="BP9" i="60"/>
  <c r="BL8" i="60"/>
  <c r="L101" i="93" s="1"/>
  <c r="CG9" i="60"/>
  <c r="CS9" i="60"/>
  <c r="CZ9" i="60"/>
  <c r="BS9" i="60"/>
  <c r="BT9" i="60"/>
  <c r="AY9" i="60"/>
  <c r="M9" i="60"/>
  <c r="CQ8" i="60"/>
  <c r="L38" i="93" s="1"/>
  <c r="CO8" i="60"/>
  <c r="CT8" i="60"/>
  <c r="L39" i="93" s="1"/>
  <c r="BC9" i="60"/>
  <c r="AF8" i="60"/>
  <c r="CK8" i="60"/>
  <c r="CZ8" i="60"/>
  <c r="L75" i="93" s="1"/>
  <c r="BB8" i="60"/>
  <c r="L87" i="93" s="1"/>
  <c r="BJ9" i="60"/>
  <c r="CX8" i="60"/>
  <c r="L37" i="93" s="1"/>
  <c r="BX8" i="60"/>
  <c r="BV9" i="60"/>
  <c r="V8" i="60"/>
  <c r="AJ9" i="60"/>
  <c r="CO9" i="60"/>
  <c r="BK8" i="60"/>
  <c r="L96" i="93" s="1"/>
  <c r="N8" i="60"/>
  <c r="L43" i="93" s="1"/>
  <c r="X9" i="60"/>
  <c r="K9" i="60"/>
  <c r="AP8" i="60"/>
  <c r="L57" i="93" s="1"/>
  <c r="AS8" i="60"/>
  <c r="L50" i="93" s="1"/>
  <c r="AR9" i="60"/>
  <c r="BH9" i="60"/>
  <c r="AC9" i="60"/>
  <c r="AX9" i="60"/>
  <c r="S8" i="60"/>
  <c r="L46" i="93" s="1"/>
  <c r="BD9" i="60"/>
  <c r="BS8" i="60"/>
  <c r="L30" i="93" s="1"/>
  <c r="P9" i="60"/>
  <c r="DA8" i="60"/>
  <c r="L73" i="93" s="1"/>
  <c r="CS8" i="60"/>
  <c r="L34" i="93" s="1"/>
  <c r="CV8" i="60"/>
  <c r="L40" i="93" s="1"/>
  <c r="AV9" i="60"/>
  <c r="AI9" i="60"/>
  <c r="N9" i="60"/>
  <c r="CD8" i="60"/>
  <c r="BE8" i="60"/>
  <c r="L102" i="93" s="1"/>
  <c r="V9" i="60"/>
  <c r="AN9" i="60"/>
  <c r="AA8" i="60"/>
  <c r="BP8" i="60"/>
  <c r="L29" i="93" s="1"/>
  <c r="BG9" i="60"/>
  <c r="CH8" i="60"/>
  <c r="BR8" i="60"/>
  <c r="L25" i="93" s="1"/>
  <c r="CL8" i="60"/>
  <c r="AL8" i="60"/>
  <c r="L51" i="93" s="1"/>
  <c r="S9" i="60"/>
  <c r="U9" i="60"/>
  <c r="CH9" i="60"/>
  <c r="P8" i="60"/>
  <c r="L44" i="93" s="1"/>
  <c r="BQ8" i="60"/>
  <c r="L27" i="93" s="1"/>
  <c r="CV9" i="60"/>
  <c r="AN8" i="60"/>
  <c r="L54" i="93" s="1"/>
  <c r="AP9" i="60"/>
  <c r="BO9" i="60"/>
  <c r="BQ9" i="60"/>
  <c r="BC8" i="60"/>
  <c r="L92" i="93" s="1"/>
  <c r="CU8" i="60"/>
  <c r="L35" i="93" s="1"/>
  <c r="CM9" i="60"/>
  <c r="BU9" i="60"/>
  <c r="BF9" i="60"/>
  <c r="CP9" i="60"/>
  <c r="BD8" i="60"/>
  <c r="L97" i="93" s="1"/>
  <c r="BI8" i="60"/>
  <c r="L99" i="93" s="1"/>
  <c r="Q9" i="60"/>
  <c r="CA9" i="60"/>
  <c r="AX8" i="60"/>
  <c r="L89" i="93" s="1"/>
  <c r="BO8" i="60"/>
  <c r="L24" i="93" s="1"/>
  <c r="AG8" i="60"/>
  <c r="CI9" i="60"/>
  <c r="I8" i="60"/>
  <c r="L11" i="93" s="1"/>
  <c r="BM9" i="60"/>
  <c r="Y8" i="60"/>
  <c r="AM8" i="60"/>
  <c r="L56" i="93" s="1"/>
  <c r="CK9" i="60"/>
  <c r="CT9" i="60"/>
  <c r="AU9" i="60"/>
  <c r="CJ9" i="60"/>
  <c r="CE8" i="60"/>
  <c r="BJ8" i="60"/>
  <c r="L104" i="93" s="1"/>
  <c r="CY8" i="60"/>
  <c r="L70" i="93" s="1"/>
  <c r="K8" i="60"/>
  <c r="L42" i="93" s="1"/>
  <c r="AA9" i="60"/>
  <c r="L9" i="60"/>
  <c r="BV8" i="60"/>
  <c r="L23" i="93" s="1"/>
  <c r="AQ8" i="60"/>
  <c r="L53" i="93" s="1"/>
  <c r="BN8" i="60"/>
  <c r="L10" i="93" s="1"/>
  <c r="AD9" i="60"/>
  <c r="BI9" i="60"/>
  <c r="AH9" i="60"/>
  <c r="CF8" i="60"/>
  <c r="O8" i="60"/>
  <c r="L48" i="93" s="1"/>
  <c r="BL9" i="60"/>
  <c r="I19" i="52" a="1"/>
  <c r="O19" i="52" s="1"/>
  <c r="CM8" i="60"/>
  <c r="CW8" i="60"/>
  <c r="L32" i="93" s="1"/>
  <c r="DA9" i="60"/>
  <c r="AW9" i="60"/>
  <c r="AB9" i="60"/>
  <c r="BX9" i="60"/>
  <c r="Q8" i="60"/>
  <c r="L49" i="93" s="1"/>
  <c r="AG9" i="60"/>
  <c r="CW9" i="60"/>
  <c r="Y9" i="60"/>
  <c r="AV8" i="60"/>
  <c r="L93" i="93" s="1"/>
  <c r="AH8" i="60"/>
  <c r="J8" i="60"/>
  <c r="L12" i="93" s="1"/>
  <c r="Z9" i="60"/>
  <c r="CN8" i="60"/>
  <c r="AI8" i="60"/>
  <c r="CU9" i="60"/>
  <c r="CC9" i="60"/>
  <c r="Z8" i="60"/>
  <c r="W8" i="60"/>
  <c r="CD9" i="60"/>
  <c r="I2" i="52" a="1"/>
  <c r="I147" i="52" a="1"/>
  <c r="H144" i="47"/>
  <c r="D35" i="51"/>
  <c r="F144" i="47"/>
  <c r="G144" i="47"/>
  <c r="M10" i="93" l="1"/>
  <c r="M75" i="93"/>
  <c r="M28" i="93"/>
  <c r="M11" i="93"/>
  <c r="M48" i="93"/>
  <c r="M46" i="93"/>
  <c r="M88" i="93"/>
  <c r="M87" i="93"/>
  <c r="M39" i="93"/>
  <c r="M36" i="93"/>
  <c r="M33" i="93"/>
  <c r="M25" i="93"/>
  <c r="M47" i="93"/>
  <c r="M50" i="93"/>
  <c r="M32" i="93"/>
  <c r="M27" i="93"/>
  <c r="M29" i="93"/>
  <c r="M90" i="93"/>
  <c r="M93" i="93"/>
  <c r="M43" i="93"/>
  <c r="M91" i="93"/>
  <c r="M23" i="93"/>
  <c r="M96" i="93"/>
  <c r="M70" i="93"/>
  <c r="M74" i="93"/>
  <c r="M78" i="93"/>
  <c r="M105" i="93"/>
  <c r="M85" i="93"/>
  <c r="M76" i="93"/>
  <c r="M82" i="93"/>
  <c r="M81" i="93"/>
  <c r="M77" i="93"/>
  <c r="M86" i="93"/>
  <c r="M80" i="93"/>
  <c r="M84" i="93"/>
  <c r="M69" i="93"/>
  <c r="M83" i="93"/>
  <c r="M71" i="93"/>
  <c r="M79" i="93"/>
  <c r="M72" i="93"/>
  <c r="M9" i="93"/>
  <c r="M58" i="93"/>
  <c r="M94" i="93"/>
  <c r="M31" i="93"/>
  <c r="M102" i="93"/>
  <c r="M56" i="93"/>
  <c r="M89" i="93"/>
  <c r="M101" i="93"/>
  <c r="M98" i="93"/>
  <c r="M26" i="93"/>
  <c r="M41" i="93"/>
  <c r="M30" i="93"/>
  <c r="M53" i="93"/>
  <c r="M92" i="93"/>
  <c r="M95" i="93"/>
  <c r="M73" i="93"/>
  <c r="M51" i="93"/>
  <c r="M38" i="93"/>
  <c r="M57" i="93"/>
  <c r="M52" i="93"/>
  <c r="M55" i="93"/>
  <c r="M24" i="93"/>
  <c r="M99" i="93"/>
  <c r="M12" i="93"/>
  <c r="M35" i="93"/>
  <c r="M49" i="93"/>
  <c r="M40" i="93"/>
  <c r="M37" i="93"/>
  <c r="M44" i="93"/>
  <c r="M100" i="93"/>
  <c r="M97" i="93"/>
  <c r="M103" i="93"/>
  <c r="M42" i="93"/>
  <c r="M104" i="93"/>
  <c r="M54" i="93"/>
  <c r="M34" i="93"/>
  <c r="M45" i="93"/>
  <c r="H31" i="60"/>
  <c r="M43" i="63"/>
  <c r="J19" i="52"/>
  <c r="K19" i="52"/>
  <c r="I19" i="52"/>
  <c r="M19" i="52"/>
  <c r="N19" i="52"/>
  <c r="L19" i="52"/>
  <c r="J10" i="63"/>
  <c r="M10" i="63" s="1"/>
  <c r="J69" i="63"/>
  <c r="J147" i="52"/>
  <c r="L147" i="52"/>
  <c r="I147" i="52"/>
  <c r="O147" i="52"/>
  <c r="N147" i="52"/>
  <c r="M147" i="52"/>
  <c r="K147" i="52"/>
  <c r="I2" i="52"/>
  <c r="K2" i="52"/>
  <c r="J2" i="52"/>
  <c r="O2" i="52"/>
  <c r="M2" i="52"/>
  <c r="N2" i="52"/>
  <c r="L2" i="52"/>
  <c r="D36" i="51"/>
  <c r="J71" i="63" l="1"/>
  <c r="J14" i="63"/>
  <c r="D37" i="51"/>
  <c r="M14" i="63" l="1"/>
  <c r="D38" i="51"/>
  <c r="D39" i="51" l="1"/>
  <c r="D40" i="51" l="1"/>
  <c r="D41" i="51" l="1"/>
  <c r="D42" i="51" l="1"/>
  <c r="D43" i="51" s="1"/>
  <c r="D44" i="51" s="1"/>
  <c r="D45" i="51" s="1"/>
  <c r="D46" i="51" s="1"/>
  <c r="D47" i="51" s="1"/>
  <c r="D48" i="51" s="1"/>
  <c r="D49" i="51" s="1"/>
  <c r="D50" i="51" s="1"/>
  <c r="D51" i="51" s="1"/>
  <c r="D52" i="51" s="1"/>
  <c r="D53" i="51" s="1"/>
  <c r="D54" i="51" s="1"/>
  <c r="D55" i="51" s="1"/>
  <c r="D56" i="51" s="1"/>
  <c r="D57" i="51" s="1"/>
  <c r="D58" i="51" s="1"/>
  <c r="D59" i="51" s="1"/>
  <c r="D60" i="51" s="1"/>
  <c r="D61" i="51" s="1"/>
  <c r="D62" i="51" s="1"/>
  <c r="D63" i="51" s="1"/>
  <c r="D64" i="51" s="1"/>
  <c r="D65" i="51" s="1"/>
  <c r="D66" i="51" s="1"/>
  <c r="D67" i="51" s="1"/>
  <c r="D68" i="51" s="1"/>
  <c r="D69" i="51" s="1"/>
  <c r="D70" i="51" s="1"/>
  <c r="D71" i="51" s="1"/>
  <c r="D72" i="51" s="1"/>
  <c r="D73" i="51" s="1"/>
  <c r="D74" i="51" s="1"/>
  <c r="D75" i="51" s="1"/>
  <c r="D76" i="51" s="1"/>
  <c r="D77" i="51" s="1"/>
  <c r="D78" i="51" s="1"/>
  <c r="D79" i="51" s="1"/>
  <c r="D80" i="51" s="1"/>
  <c r="D81" i="51" s="1"/>
  <c r="D82" i="51" s="1"/>
  <c r="D83" i="51" s="1"/>
  <c r="D84" i="51" s="1"/>
  <c r="D85" i="51" s="1"/>
  <c r="D86" i="51" s="1"/>
  <c r="D87" i="51" s="1"/>
  <c r="D88" i="51" s="1"/>
  <c r="D89" i="51" s="1"/>
  <c r="D90" i="51" s="1"/>
  <c r="D91" i="51" s="1"/>
  <c r="D92" i="51" s="1"/>
  <c r="D93" i="51" s="1"/>
  <c r="D94" i="51" s="1"/>
  <c r="D95" i="51" s="1"/>
  <c r="D96" i="51" s="1"/>
  <c r="D97" i="51" s="1"/>
  <c r="D98" i="51" s="1"/>
  <c r="D99" i="51" s="1"/>
  <c r="D100" i="51" s="1"/>
  <c r="D101" i="51" s="1"/>
  <c r="D102" i="51" s="1"/>
  <c r="D103" i="51" s="1"/>
  <c r="D104" i="51" s="1"/>
  <c r="D105" i="51" s="1"/>
  <c r="D106" i="51" s="1"/>
  <c r="D107" i="51" s="1"/>
  <c r="D108" i="51" s="1"/>
  <c r="D109" i="51" s="1"/>
  <c r="D110" i="51" s="1"/>
  <c r="D111" i="51" s="1"/>
  <c r="D112" i="51" s="1"/>
  <c r="D113" i="51" s="1"/>
  <c r="D114" i="51" s="1"/>
  <c r="D115" i="51" s="1"/>
  <c r="D116" i="51" s="1"/>
  <c r="D117" i="51" s="1"/>
  <c r="D118" i="51" s="1"/>
  <c r="D119" i="51" s="1"/>
  <c r="D120" i="51" s="1"/>
  <c r="D121" i="51" s="1"/>
  <c r="D122" i="51" s="1"/>
  <c r="D123" i="51" s="1"/>
  <c r="D124" i="51" s="1"/>
  <c r="D125" i="51" s="1"/>
  <c r="D126" i="51" s="1"/>
  <c r="D127" i="51" s="1"/>
  <c r="D128" i="51" s="1"/>
  <c r="D129" i="51" s="1"/>
  <c r="D130" i="51" s="1"/>
  <c r="D131" i="51" s="1"/>
  <c r="D132" i="51" s="1"/>
  <c r="D133" i="51" s="1"/>
  <c r="D134" i="51" s="1"/>
  <c r="D135" i="51" s="1"/>
  <c r="D136" i="51" s="1"/>
  <c r="D137" i="51" s="1"/>
  <c r="D138" i="51" s="1"/>
  <c r="D139" i="51" s="1"/>
  <c r="D140" i="51" s="1"/>
  <c r="D141" i="51" s="1"/>
  <c r="D142" i="51" s="1"/>
  <c r="D143" i="51" s="1"/>
  <c r="D144" i="51" s="1"/>
  <c r="D145" i="51" s="1"/>
  <c r="D146" i="51" s="1"/>
  <c r="D147" i="51" s="1"/>
  <c r="D148" i="51" s="1"/>
  <c r="D149" i="51" s="1"/>
  <c r="D150" i="51" s="1"/>
  <c r="D151" i="51" s="1"/>
  <c r="D152" i="51" s="1"/>
  <c r="D153" i="51" s="1"/>
  <c r="D154" i="51" s="1"/>
  <c r="D155" i="51" s="1"/>
  <c r="D156" i="51" s="1"/>
  <c r="D157" i="51" s="1"/>
  <c r="D158" i="51" s="1"/>
  <c r="D159" i="51" s="1"/>
  <c r="D160" i="51" s="1"/>
  <c r="D161" i="51" s="1"/>
  <c r="D162" i="51" s="1"/>
  <c r="D163" i="51" s="1"/>
  <c r="D164" i="51" s="1"/>
  <c r="D165" i="51" s="1"/>
  <c r="D166" i="51" s="1"/>
  <c r="D167" i="51" s="1"/>
  <c r="D168" i="51" s="1"/>
  <c r="D169" i="51" s="1"/>
  <c r="D170" i="51" s="1"/>
  <c r="D171" i="51" s="1"/>
  <c r="D172" i="51" s="1"/>
  <c r="D173" i="51" s="1"/>
  <c r="D174" i="51" s="1"/>
  <c r="D175" i="51" s="1"/>
  <c r="D176" i="51" s="1"/>
  <c r="D177" i="51" s="1"/>
  <c r="D178" i="51" s="1"/>
  <c r="H9" i="60" l="1"/>
  <c r="H8" i="60" l="1"/>
  <c r="HP8" i="60" s="1"/>
  <c r="J35" i="63" l="1"/>
  <c r="J19" i="63"/>
  <c r="M19" i="63" s="1"/>
  <c r="M35" i="63" l="1"/>
  <c r="J28" i="63"/>
  <c r="J36" i="63"/>
  <c r="M36" i="63" s="1"/>
  <c r="J23" i="63"/>
  <c r="M23" i="63" l="1"/>
  <c r="J32" i="63"/>
  <c r="M32" i="63" s="1"/>
  <c r="M28" i="63"/>
  <c r="S16" i="60" l="1"/>
  <c r="I137" i="59" s="1"/>
  <c r="Q16" i="60"/>
  <c r="I135" i="59" s="1"/>
  <c r="R16" i="60"/>
  <c r="I136" i="59" s="1"/>
  <c r="P16" i="60"/>
  <c r="I134" i="59" s="1"/>
  <c r="AL16" i="60" l="1"/>
  <c r="I156" i="59" s="1"/>
  <c r="AM16" i="60"/>
  <c r="I157" i="59" s="1"/>
  <c r="M16" i="60"/>
  <c r="I131" i="59" s="1"/>
  <c r="O16" i="60"/>
  <c r="I133" i="59" s="1"/>
  <c r="T16" i="60"/>
  <c r="I138" i="59" s="1"/>
  <c r="N16" i="60"/>
  <c r="I132" i="59" s="1"/>
  <c r="K16" i="60"/>
  <c r="I129" i="59" s="1"/>
  <c r="U16" i="60"/>
  <c r="I139" i="59" s="1"/>
  <c r="L16" i="60"/>
  <c r="I130" i="59" s="1"/>
  <c r="Z16" i="60"/>
  <c r="I144" i="59" s="1"/>
  <c r="V16" i="60"/>
  <c r="I140" i="59" s="1"/>
  <c r="AJ16" i="60"/>
  <c r="I154" i="59" s="1"/>
  <c r="BB16" i="60"/>
  <c r="I172" i="59" s="1"/>
  <c r="BQ16" i="60"/>
  <c r="I187" i="59" s="1"/>
  <c r="BE16" i="60"/>
  <c r="I175" i="59" s="1"/>
  <c r="BN16" i="60"/>
  <c r="I184" i="59" s="1"/>
  <c r="F252" i="59" s="1"/>
  <c r="AS16" i="60"/>
  <c r="I163" i="59" s="1"/>
  <c r="AT16" i="60"/>
  <c r="I164" i="59" s="1"/>
  <c r="BZ16" i="60"/>
  <c r="I196" i="59" s="1"/>
  <c r="AY16" i="60"/>
  <c r="I169" i="59" s="1"/>
  <c r="CA16" i="60"/>
  <c r="I197" i="59" s="1"/>
  <c r="BU16" i="60"/>
  <c r="I191" i="59" s="1"/>
  <c r="BF16" i="60"/>
  <c r="I176" i="59" s="1"/>
  <c r="BV16" i="60"/>
  <c r="I192" i="59" s="1"/>
  <c r="BI16" i="60"/>
  <c r="I179" i="59" s="1"/>
  <c r="AQ16" i="60"/>
  <c r="I161" i="59" s="1"/>
  <c r="BY16" i="60"/>
  <c r="I195" i="59" s="1"/>
  <c r="BW16" i="60"/>
  <c r="I193" i="59" s="1"/>
  <c r="BS16" i="60"/>
  <c r="I189" i="59" s="1"/>
  <c r="BD16" i="60"/>
  <c r="I174" i="59" s="1"/>
  <c r="BA16" i="60"/>
  <c r="I171" i="59" s="1"/>
  <c r="BJ16" i="60"/>
  <c r="I180" i="59" s="1"/>
  <c r="AX16" i="60"/>
  <c r="I168" i="59" s="1"/>
  <c r="AD16" i="60"/>
  <c r="I148" i="59" s="1"/>
  <c r="BG16" i="60"/>
  <c r="I177" i="59" s="1"/>
  <c r="CF16" i="60"/>
  <c r="I202" i="59" s="1"/>
  <c r="CC16" i="60"/>
  <c r="I199" i="59" s="1"/>
  <c r="BR16" i="60"/>
  <c r="I188" i="59" s="1"/>
  <c r="BK16" i="60"/>
  <c r="I181" i="59" s="1"/>
  <c r="AN16" i="60"/>
  <c r="I158" i="59" s="1"/>
  <c r="I16" i="60"/>
  <c r="I127" i="59" s="1"/>
  <c r="CE16" i="60"/>
  <c r="I201" i="59" s="1"/>
  <c r="BP16" i="60"/>
  <c r="I186" i="59" s="1"/>
  <c r="CD16" i="60"/>
  <c r="I200" i="59" s="1"/>
  <c r="W16" i="60"/>
  <c r="I141" i="59" s="1"/>
  <c r="AW16" i="60"/>
  <c r="I167" i="59" s="1"/>
  <c r="AO16" i="60"/>
  <c r="I159" i="59" s="1"/>
  <c r="BT16" i="60"/>
  <c r="I190" i="59" s="1"/>
  <c r="AZ16" i="60"/>
  <c r="I170" i="59" s="1"/>
  <c r="BL16" i="60"/>
  <c r="I182" i="59" s="1"/>
  <c r="AU16" i="60"/>
  <c r="I165" i="59" s="1"/>
  <c r="AV16" i="60"/>
  <c r="I166" i="59" s="1"/>
  <c r="AA16" i="60"/>
  <c r="I145" i="59" s="1"/>
  <c r="BO16" i="60"/>
  <c r="I185" i="59" s="1"/>
  <c r="BC16" i="60"/>
  <c r="I173" i="59" s="1"/>
  <c r="BH16" i="60"/>
  <c r="I178" i="59" s="1"/>
  <c r="AP16" i="60"/>
  <c r="I160" i="59" s="1"/>
  <c r="CB16" i="60"/>
  <c r="I198" i="59" s="1"/>
  <c r="AR16" i="60"/>
  <c r="I162" i="59" s="1"/>
  <c r="BX16" i="60"/>
  <c r="I194" i="59" s="1"/>
  <c r="AH16" i="60"/>
  <c r="I152" i="59" s="1"/>
  <c r="X16" i="60"/>
  <c r="I142" i="59" s="1"/>
  <c r="AF16" i="60" l="1"/>
  <c r="I150" i="59" s="1"/>
  <c r="Y16" i="60"/>
  <c r="I143" i="59" s="1"/>
  <c r="AC16" i="60"/>
  <c r="I147" i="59" s="1"/>
  <c r="AI16" i="60"/>
  <c r="I153" i="59" s="1"/>
  <c r="AB16" i="60"/>
  <c r="I146" i="59" s="1"/>
  <c r="AE16" i="60"/>
  <c r="I149" i="59" s="1"/>
  <c r="J16" i="60"/>
  <c r="I128" i="59" s="1"/>
  <c r="F253" i="59" s="1"/>
  <c r="AG16" i="60"/>
  <c r="I151" i="59" s="1"/>
  <c r="J43" i="63" l="1"/>
  <c r="AN33" i="60" l="1"/>
  <c r="AX33" i="60"/>
  <c r="CD33" i="60"/>
  <c r="BA33" i="60"/>
  <c r="BH33" i="60"/>
  <c r="AW33" i="60"/>
  <c r="BE33" i="60"/>
  <c r="BC33" i="60"/>
  <c r="AU33" i="60"/>
  <c r="BJ33" i="60"/>
  <c r="AJ33" i="60"/>
  <c r="CE33" i="60"/>
  <c r="BZ33" i="60"/>
  <c r="CC33" i="60"/>
  <c r="AT33" i="60"/>
  <c r="W33" i="60"/>
  <c r="BL33" i="60"/>
  <c r="BU33" i="60"/>
  <c r="BW33" i="60"/>
  <c r="AR33" i="60"/>
  <c r="BV33" i="60"/>
  <c r="AO33" i="60"/>
  <c r="CB33" i="60"/>
  <c r="BR33" i="60"/>
  <c r="BI33" i="60"/>
  <c r="BF33" i="60"/>
  <c r="BM33" i="60"/>
  <c r="BX33" i="60"/>
  <c r="Q33" i="60"/>
  <c r="N33" i="60"/>
  <c r="AZ33" i="60"/>
  <c r="BT33" i="60"/>
  <c r="T33" i="60"/>
  <c r="BQ33" i="60"/>
  <c r="AP33" i="60"/>
  <c r="BN33" i="60"/>
  <c r="BY33" i="60"/>
  <c r="BP33" i="60"/>
  <c r="I33" i="60"/>
  <c r="BD33" i="60"/>
  <c r="X33" i="60"/>
  <c r="BK33" i="60"/>
  <c r="BO33" i="60"/>
  <c r="AS33" i="60"/>
  <c r="AY33" i="60"/>
  <c r="CF33" i="60"/>
  <c r="BG33" i="60"/>
  <c r="M33" i="60"/>
  <c r="AA33" i="60"/>
  <c r="AV33" i="60"/>
  <c r="K33" i="60"/>
  <c r="L33" i="60"/>
  <c r="AQ33" i="60"/>
  <c r="BS33" i="60"/>
  <c r="U33" i="60"/>
  <c r="O33" i="60"/>
  <c r="AK33" i="60"/>
  <c r="AL33" i="60"/>
  <c r="R33" i="60"/>
  <c r="CA33" i="60"/>
  <c r="S33" i="60"/>
  <c r="BB33" i="60"/>
  <c r="P33" i="60"/>
  <c r="AM33" i="60"/>
  <c r="V33" i="60"/>
  <c r="M44" i="63" l="1"/>
  <c r="M46" i="63" s="1"/>
  <c r="J44" i="63"/>
  <c r="G253" i="59"/>
  <c r="H253" i="59" s="1"/>
  <c r="G252" i="59"/>
  <c r="AI33" i="60"/>
  <c r="J33" i="60"/>
  <c r="AF33" i="60"/>
  <c r="AE33" i="60"/>
  <c r="H252" i="59" l="1"/>
  <c r="E259" i="59"/>
  <c r="E263" i="59"/>
  <c r="E264" i="59"/>
  <c r="AU22" i="60" s="1"/>
  <c r="E258" i="59"/>
  <c r="E260" i="59"/>
  <c r="E262" i="59"/>
  <c r="E265" i="59"/>
  <c r="DQ22" i="60" s="1"/>
  <c r="E261" i="59"/>
  <c r="AG33" i="60"/>
  <c r="Y33" i="60"/>
  <c r="AB33" i="60"/>
  <c r="Z33" i="60"/>
  <c r="AD33" i="60"/>
  <c r="AH33" i="60"/>
  <c r="AC33" i="60"/>
  <c r="DP22" i="60" l="1"/>
  <c r="CE22" i="60"/>
  <c r="CF22" i="60"/>
  <c r="CN22" i="60"/>
  <c r="DG22" i="60"/>
  <c r="DO22" i="60"/>
  <c r="DF22" i="60"/>
  <c r="CO22" i="60"/>
  <c r="BX22" i="60"/>
  <c r="BY22" i="60"/>
  <c r="CB22" i="60"/>
  <c r="CY22" i="60"/>
  <c r="CD22" i="60"/>
  <c r="CZ22" i="60"/>
  <c r="DA22" i="60"/>
  <c r="DE22" i="60"/>
  <c r="CJ22" i="60"/>
  <c r="CL22" i="60"/>
  <c r="DM22" i="60"/>
  <c r="BZ22" i="60"/>
  <c r="CA22" i="60"/>
  <c r="DK22" i="60"/>
  <c r="CC22" i="60"/>
  <c r="CG22" i="60"/>
  <c r="DD22" i="60"/>
  <c r="CI22" i="60"/>
  <c r="DB22" i="60"/>
  <c r="CH22" i="60"/>
  <c r="CK22" i="60"/>
  <c r="DH22" i="60"/>
  <c r="CM22" i="60"/>
  <c r="DC22" i="60"/>
  <c r="DI22" i="60"/>
  <c r="DJ22" i="60"/>
  <c r="DL22" i="60"/>
  <c r="DN22" i="60"/>
  <c r="CT22" i="60"/>
  <c r="CU22" i="60"/>
  <c r="BM22" i="60"/>
  <c r="BQ22" i="60"/>
  <c r="BT22" i="60"/>
  <c r="CV22" i="60"/>
  <c r="BN22" i="60"/>
  <c r="BR22" i="60"/>
  <c r="CP22" i="60"/>
  <c r="CR22" i="60"/>
  <c r="BO22" i="60"/>
  <c r="BP22" i="60"/>
  <c r="BS22" i="60"/>
  <c r="BU22" i="60"/>
  <c r="CQ22" i="60"/>
  <c r="CS22" i="60"/>
  <c r="AF22" i="60"/>
  <c r="BB22" i="60"/>
  <c r="AG22" i="60"/>
  <c r="BC22" i="60"/>
  <c r="AJ22" i="60"/>
  <c r="BG22" i="60"/>
  <c r="BH22" i="60"/>
  <c r="BI22" i="60"/>
  <c r="BJ22" i="60"/>
  <c r="BK22" i="60"/>
  <c r="BL22" i="60"/>
  <c r="AA22" i="60"/>
  <c r="AZ22" i="60"/>
  <c r="AH22" i="60"/>
  <c r="BD22" i="60"/>
  <c r="AI22" i="60"/>
  <c r="Y22" i="60"/>
  <c r="AY22" i="60"/>
  <c r="BE22" i="60"/>
  <c r="BF22" i="60"/>
  <c r="AW22" i="60"/>
  <c r="AC22" i="60"/>
  <c r="AE22" i="60"/>
  <c r="AK22" i="60"/>
  <c r="T22" i="60"/>
  <c r="W22" i="60"/>
  <c r="Z22" i="60"/>
  <c r="AX22" i="60"/>
  <c r="AD22" i="60"/>
  <c r="V22" i="60"/>
  <c r="AV22" i="60"/>
  <c r="AB22" i="60"/>
  <c r="BA22" i="60"/>
  <c r="U22" i="60"/>
  <c r="X22" i="60"/>
  <c r="J22" i="60"/>
  <c r="K22" i="60"/>
  <c r="P22" i="60"/>
  <c r="AL22" i="60"/>
  <c r="AM22" i="60"/>
  <c r="AP22" i="60"/>
  <c r="AS22" i="60"/>
  <c r="L22" i="60"/>
  <c r="I22" i="60"/>
  <c r="AQ22" i="60"/>
  <c r="AT22" i="60"/>
  <c r="M22" i="60"/>
  <c r="N22" i="60"/>
  <c r="O22" i="60"/>
  <c r="Q22" i="60"/>
  <c r="AN22" i="60"/>
  <c r="AR22" i="60"/>
  <c r="R22" i="60"/>
  <c r="S22" i="60"/>
  <c r="AO22" i="60"/>
  <c r="BW22" i="60"/>
  <c r="CW22" i="60"/>
  <c r="CX22" i="60"/>
  <c r="BV22" i="60"/>
  <c r="J86" i="63"/>
  <c r="F264" i="59" l="1"/>
  <c r="F260" i="59"/>
  <c r="F258" i="59"/>
  <c r="F265" i="59"/>
  <c r="F261" i="59"/>
  <c r="F259" i="59"/>
  <c r="F263" i="59"/>
  <c r="F262" i="59"/>
  <c r="G259" i="59" l="1"/>
  <c r="G263" i="59"/>
  <c r="G258" i="59"/>
  <c r="G262" i="59"/>
  <c r="G261" i="59"/>
  <c r="G265" i="59"/>
  <c r="G260" i="59"/>
  <c r="G264" i="59"/>
  <c r="J91" i="63" l="1"/>
  <c r="K86" i="63" s="1"/>
  <c r="J46" i="63"/>
  <c r="J52" i="63" s="1"/>
  <c r="J50" i="63" s="1"/>
  <c r="K50" i="63" l="1"/>
  <c r="J96" i="63"/>
  <c r="K46" i="63"/>
  <c r="N46" i="63"/>
  <c r="J56" i="63"/>
  <c r="J54" i="63" s="1"/>
  <c r="K54" i="63" s="1"/>
  <c r="J72" i="63" l="1"/>
  <c r="J77" i="63" s="1"/>
  <c r="J80" i="63" s="1"/>
  <c r="J68" i="63" s="1"/>
  <c r="K68" i="63" s="1"/>
  <c r="J66" i="63"/>
  <c r="J63" i="63" s="1"/>
  <c r="J61" i="63"/>
  <c r="J58" i="63" s="1"/>
  <c r="K58" i="63" s="1"/>
  <c r="K63" i="63" l="1"/>
  <c r="K83" i="63" s="1"/>
  <c r="J87" i="63"/>
  <c r="J92" i="63" s="1"/>
  <c r="J95" i="63" l="1"/>
  <c r="J97" i="63" s="1"/>
  <c r="J93" i="63"/>
  <c r="B5" i="93" a="1"/>
  <c r="J10" i="93" l="1"/>
  <c r="J9" i="93"/>
  <c r="J11" i="93"/>
  <c r="J12" i="93"/>
  <c r="J88" i="93"/>
  <c r="J103" i="93"/>
  <c r="J55" i="93"/>
  <c r="J96" i="93"/>
  <c r="J91" i="93"/>
  <c r="J46" i="93"/>
  <c r="J38" i="93"/>
  <c r="J23" i="93"/>
  <c r="J71" i="93"/>
  <c r="J99" i="93"/>
  <c r="J82" i="93"/>
  <c r="J43" i="93"/>
  <c r="J36" i="93"/>
  <c r="J40" i="93"/>
  <c r="J25" i="93"/>
  <c r="J35" i="93"/>
  <c r="J56" i="93"/>
  <c r="J73" i="93"/>
  <c r="J37" i="93"/>
  <c r="J93" i="93"/>
  <c r="J104" i="93"/>
  <c r="J51" i="93"/>
  <c r="J78" i="93"/>
  <c r="J77" i="93"/>
  <c r="J92" i="93"/>
  <c r="J89" i="93"/>
  <c r="J41" i="93"/>
  <c r="J80" i="93"/>
  <c r="J81" i="93"/>
  <c r="J32" i="93"/>
  <c r="J28" i="93"/>
  <c r="J45" i="93"/>
  <c r="J30" i="93"/>
  <c r="J95" i="93"/>
  <c r="J44" i="93"/>
  <c r="J84" i="93"/>
  <c r="J76" i="93"/>
  <c r="J101" i="93"/>
  <c r="J33" i="93"/>
  <c r="J48" i="93"/>
  <c r="J98" i="93"/>
  <c r="J53" i="93"/>
  <c r="J105" i="93"/>
  <c r="J85" i="93"/>
  <c r="J79" i="93"/>
  <c r="J72" i="93"/>
  <c r="J52" i="93"/>
  <c r="J57" i="93"/>
  <c r="J31" i="93"/>
  <c r="J86" i="93"/>
  <c r="J29" i="93"/>
  <c r="J100" i="93"/>
  <c r="J90" i="93"/>
  <c r="J70" i="93"/>
  <c r="J58" i="93"/>
  <c r="J94" i="93"/>
  <c r="J54" i="93"/>
  <c r="J26" i="93"/>
  <c r="J50" i="93"/>
  <c r="J27" i="93"/>
  <c r="J47" i="93"/>
  <c r="J74" i="93"/>
  <c r="J87" i="93"/>
  <c r="J42" i="93"/>
  <c r="J83" i="93"/>
  <c r="J24" i="93"/>
  <c r="J34" i="93"/>
  <c r="J39" i="93"/>
  <c r="J75" i="93"/>
  <c r="J49" i="93"/>
  <c r="J102" i="93"/>
  <c r="J69" i="93"/>
  <c r="J97" i="93"/>
  <c r="K13" i="93"/>
  <c r="B5" i="93"/>
  <c r="K103" i="93" l="1"/>
  <c r="K49" i="93" l="1"/>
  <c r="K102" i="93"/>
  <c r="K43" i="93"/>
  <c r="K34" i="93"/>
  <c r="K79" i="93"/>
  <c r="K38" i="93"/>
  <c r="K78" i="93"/>
  <c r="K47" i="93"/>
  <c r="K37" i="93"/>
  <c r="K54" i="93"/>
  <c r="K57" i="93"/>
  <c r="K36" i="93"/>
  <c r="K35" i="93"/>
  <c r="K74" i="93"/>
  <c r="K69" i="93"/>
  <c r="K77" i="93"/>
  <c r="K87" i="93"/>
  <c r="K75" i="93"/>
  <c r="K94" i="93"/>
  <c r="K27" i="93"/>
  <c r="K45" i="93"/>
  <c r="K76" i="93"/>
  <c r="K95" i="93"/>
  <c r="K89" i="93"/>
  <c r="K50" i="93"/>
  <c r="K82" i="93"/>
  <c r="K39" i="93"/>
  <c r="K40" i="93"/>
  <c r="K33" i="93"/>
  <c r="K70" i="93"/>
  <c r="K56" i="93"/>
  <c r="K32" i="93"/>
  <c r="K31" i="93"/>
  <c r="K92" i="93"/>
  <c r="K30" i="93"/>
  <c r="K99" i="93"/>
  <c r="K98" i="93"/>
  <c r="K80" i="93"/>
  <c r="K44" i="93"/>
  <c r="K55" i="93"/>
  <c r="K91" i="93"/>
  <c r="K25" i="93"/>
  <c r="K90" i="93"/>
  <c r="K42" i="93"/>
  <c r="K101" i="93"/>
  <c r="K104" i="93"/>
  <c r="K83" i="93"/>
  <c r="K72" i="93"/>
  <c r="K58" i="93"/>
  <c r="K97" i="93"/>
  <c r="K71" i="93"/>
  <c r="K73" i="93"/>
  <c r="K29" i="93"/>
  <c r="K53" i="93"/>
  <c r="K105" i="93"/>
  <c r="K28" i="93"/>
  <c r="K93" i="93"/>
  <c r="K86" i="93"/>
  <c r="K85" i="93"/>
  <c r="K23" i="93"/>
  <c r="K96" i="93"/>
  <c r="K52" i="93"/>
  <c r="K41" i="93"/>
  <c r="K51" i="93"/>
  <c r="K88" i="93"/>
  <c r="K26" i="93"/>
  <c r="K100" i="93"/>
  <c r="K84" i="93"/>
  <c r="K46" i="93"/>
  <c r="K48" i="93"/>
  <c r="K81" i="93"/>
  <c r="K24" i="93"/>
  <c r="K106" i="93" l="1"/>
  <c r="K59" i="93"/>
  <c r="B66" i="93" a="1"/>
  <c r="B20" i="93" a="1"/>
  <c r="B66" i="93" l="1"/>
  <c r="B20"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R6" authorId="0" shapeId="0" xr:uid="{E3D81F73-477F-446B-8961-AFBE609AFE76}">
      <text>
        <r>
          <rPr>
            <b/>
            <sz val="9"/>
            <color indexed="81"/>
            <rFont val="Tahoma"/>
            <family val="2"/>
          </rPr>
          <t>Actualizado manualmente.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J41" authorId="0" shapeId="0" xr:uid="{6EFB1E5B-6ED8-4240-B32B-C5AAE4092ACD}">
      <text>
        <r>
          <rPr>
            <sz val="9"/>
            <color indexed="81"/>
            <rFont val="Tahoma"/>
            <family val="2"/>
          </rPr>
          <t>Separación contable, 2020. Instalación de línea o acometida.</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22A5ED1-6341-44C3-A646-DEEE62587ED0}" keepAlive="1" name="ThisWorkbookDataModel" description="Modelo de datos"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2" xr16:uid="{E7E6FB77-FA45-4675-AC90-77A44B5624A8}" name="WorksheetConnection_Modelo de Costos evitados Megacable v1.1.xlsx!Canasta2023" type="102" refreshedVersion="8" minRefreshableVersion="5">
    <extLst>
      <ext xmlns:x15="http://schemas.microsoft.com/office/spreadsheetml/2010/11/main" uri="{DE250136-89BD-433C-8126-D09CA5730AF9}">
        <x15:connection id="Canasta2023">
          <x15:rangePr sourceName="_xlcn.WorksheetConnection_ModelodeCostosevitadosMegacablev1.1.xlsxCanasta2023"/>
        </x15:connection>
      </ext>
    </extLst>
  </connection>
  <connection id="3" xr16:uid="{03740C89-5EAC-4091-ABE9-B1F72B39CF1D}" name="WorksheetConnection_Modelo de Costos evitados Megacable v1.1.xlsx!Canasta2024" type="102" refreshedVersion="8" minRefreshableVersion="5">
    <extLst>
      <ext xmlns:x15="http://schemas.microsoft.com/office/spreadsheetml/2010/11/main" uri="{DE250136-89BD-433C-8126-D09CA5730AF9}">
        <x15:connection id="Canasta2024">
          <x15:rangePr sourceName="_xlcn.WorksheetConnection_ModelodeCostosevitadosMegacablev1.1.xlsxCanasta2024"/>
        </x15:connection>
      </ext>
    </extLst>
  </connection>
  <connection id="4" xr16:uid="{8EACD145-613B-4B7C-8675-3A6929344C0B}" name="WorksheetConnection_Modelo de Costos evitados Megacable v1.1.xlsx!Suscriptoresa" type="102" refreshedVersion="8" minRefreshableVersion="5">
    <extLst>
      <ext xmlns:x15="http://schemas.microsoft.com/office/spreadsheetml/2010/11/main" uri="{DE250136-89BD-433C-8126-D09CA5730AF9}">
        <x15:connection id="Suscriptoresa">
          <x15:rangePr sourceName="_xlcn.WorksheetConnection_ModelodeCostosevitadosMegacablev1.1.xlsxSuscriptoresa"/>
        </x15:connection>
      </ext>
    </extLst>
  </connection>
  <connection id="5" xr16:uid="{D4297A9D-DD26-47FC-8907-4546707CC609}" name="WorksheetConnection_Modelo de Costos evitados Megacable v1.1.xlsx!Suscriptoresb" type="102" refreshedVersion="8" minRefreshableVersion="5">
    <extLst>
      <ext xmlns:x15="http://schemas.microsoft.com/office/spreadsheetml/2010/11/main" uri="{DE250136-89BD-433C-8126-D09CA5730AF9}">
        <x15:connection id="Suscriptoresb">
          <x15:rangePr sourceName="_xlcn.WorksheetConnection_ModelodeCostosevitadosMegacablev1.1.xlsxSuscriptoresb"/>
        </x15:connection>
      </ext>
    </extLst>
  </connection>
  <connection id="6" xr16:uid="{196AF29E-E707-49D2-B1A0-CA4540CB26BC}" name="WorksheetConnection_Modelo de Costos evitados Megacable v1.1.xlsx!Suscriptoresc" type="102" refreshedVersion="8" minRefreshableVersion="5">
    <extLst>
      <ext xmlns:x15="http://schemas.microsoft.com/office/spreadsheetml/2010/11/main" uri="{DE250136-89BD-433C-8126-D09CA5730AF9}">
        <x15:connection id="Suscriptoresc">
          <x15:rangePr sourceName="_xlcn.WorksheetConnection_ModelodeCostosevitadosMegacablev1.1.xlsxSuscriptoresc"/>
        </x15:connection>
      </ext>
    </extLst>
  </connection>
  <connection id="7" xr16:uid="{F9BA9522-6D91-4BE5-9D5A-13812048A363}" name="WorksheetConnection_Modelo de Costos evitados Megacable v1.1.xlsx!Tarifas2023" type="102" refreshedVersion="8" minRefreshableVersion="5">
    <extLst>
      <ext xmlns:x15="http://schemas.microsoft.com/office/spreadsheetml/2010/11/main" uri="{DE250136-89BD-433C-8126-D09CA5730AF9}">
        <x15:connection id="Tarifas2023">
          <x15:rangePr sourceName="_xlcn.WorksheetConnection_ModelodeCostosevitadosMegacablev1.1.xlsxTarifas2023"/>
        </x15:connection>
      </ext>
    </extLst>
  </connection>
  <connection id="8" xr16:uid="{0571AC94-6F43-4A7B-B23C-CCADBFF62497}" name="WorksheetConnection_Modelo de Costos evitados Megacable v1.1.xlsx!Tarifas2024" type="102" refreshedVersion="8" minRefreshableVersion="5">
    <extLst>
      <ext xmlns:x15="http://schemas.microsoft.com/office/spreadsheetml/2010/11/main" uri="{DE250136-89BD-433C-8126-D09CA5730AF9}">
        <x15:connection id="Tarifas2024">
          <x15:rangePr sourceName="_xlcn.WorksheetConnection_ModelodeCostosevitadosMegacablev1.1.xlsxTarifas2024"/>
        </x15:connection>
      </ext>
    </extLst>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<sst xmlns="http://schemas.openxmlformats.org/spreadsheetml/2006/main" count="1830" uniqueCount="500">
  <si>
    <t>Notes</t>
  </si>
  <si>
    <t>unlocked</t>
  </si>
  <si>
    <t>locked</t>
  </si>
  <si>
    <t>Calculation</t>
  </si>
  <si>
    <t>Output</t>
  </si>
  <si>
    <t>Highlight</t>
  </si>
  <si>
    <t>A cell that is special in some way</t>
  </si>
  <si>
    <t>Text</t>
  </si>
  <si>
    <t>Number</t>
  </si>
  <si>
    <t>Currency</t>
  </si>
  <si>
    <t>Percentage</t>
  </si>
  <si>
    <t>Percentage (2dp)</t>
  </si>
  <si>
    <t>Date</t>
  </si>
  <si>
    <t>A key result from this part of the model (in particular one that will be used elsewhere in the model)</t>
  </si>
  <si>
    <t>Comma</t>
  </si>
  <si>
    <t>Percent</t>
  </si>
  <si>
    <t>Number
(2dp)</t>
  </si>
  <si>
    <t>Currency
(2dp)</t>
  </si>
  <si>
    <t>Currency Dollar (2dp)</t>
  </si>
  <si>
    <t>Currency Dollar</t>
  </si>
  <si>
    <t>Currency Pound (2dp)</t>
  </si>
  <si>
    <t>Currency Pound</t>
  </si>
  <si>
    <t>Input Parameter</t>
  </si>
  <si>
    <t>Input Data</t>
  </si>
  <si>
    <t>Input Calculation</t>
  </si>
  <si>
    <t>Input Link</t>
  </si>
  <si>
    <t>Row label</t>
  </si>
  <si>
    <t>Row label (indent)</t>
  </si>
  <si>
    <t>Total row</t>
  </si>
  <si>
    <t>Sub-total row</t>
  </si>
  <si>
    <t>(Table finish row)</t>
  </si>
  <si>
    <t>Name</t>
  </si>
  <si>
    <t>Note</t>
  </si>
  <si>
    <t>H1</t>
  </si>
  <si>
    <t>H2</t>
  </si>
  <si>
    <t>H3</t>
  </si>
  <si>
    <t>H4</t>
  </si>
  <si>
    <t>Heading level 1</t>
  </si>
  <si>
    <t>Heading level 2</t>
  </si>
  <si>
    <t>Heading level 3</t>
  </si>
  <si>
    <t>Heading level 4</t>
  </si>
  <si>
    <t>NB These styles change only the font used in a cell</t>
  </si>
  <si>
    <t>Number styles</t>
  </si>
  <si>
    <t>Table styles</t>
  </si>
  <si>
    <t>Title</t>
  </si>
  <si>
    <t>(Table shading)</t>
  </si>
  <si>
    <t>NB These styles change a variety of different aspects of cell formatting (as appropriate to the context)</t>
  </si>
  <si>
    <t>Examples of use</t>
  </si>
  <si>
    <t>Use these styles to consistently format numbers (and dates)</t>
  </si>
  <si>
    <t>Use these styles to consistently format tables</t>
  </si>
  <si>
    <t>A calculation of the model</t>
  </si>
  <si>
    <t>A piece of real data (only change if you have better data)</t>
  </si>
  <si>
    <t>An input to the model that it is expected the user will change (change at will)</t>
  </si>
  <si>
    <t>A side calculation intended solely to cross check a result (and which therefore should not be referenced anywhere else in the model)</t>
  </si>
  <si>
    <t>A total (use if not part of a "Sub-total row" or a "Total row" in a table - see below)</t>
  </si>
  <si>
    <t>Positive</t>
  </si>
  <si>
    <t>Negative</t>
  </si>
  <si>
    <t>Zero</t>
  </si>
  <si>
    <t>Currency
Euro</t>
  </si>
  <si>
    <t>Currency
Euro (2dp)</t>
  </si>
  <si>
    <t>Currency
EUR</t>
  </si>
  <si>
    <t>Currency
EUR (2dp)</t>
  </si>
  <si>
    <t>Currency
USD</t>
  </si>
  <si>
    <t>Currency
USD (2dp)</t>
  </si>
  <si>
    <t>Currency
GBP</t>
  </si>
  <si>
    <t>Currency
GBP (2dp)</t>
  </si>
  <si>
    <t>Date
(Month)</t>
  </si>
  <si>
    <t>Date
(Year)</t>
  </si>
  <si>
    <r>
      <t xml:space="preserve">Consider using </t>
    </r>
    <r>
      <rPr>
        <u/>
        <sz val="9"/>
        <rFont val="Arial"/>
        <family val="2"/>
      </rPr>
      <t>D</t>
    </r>
    <r>
      <rPr>
        <sz val="9"/>
        <rFont val="Arial"/>
        <family val="2"/>
      </rPr>
      <t xml:space="preserve">ata </t>
    </r>
    <r>
      <rPr>
        <sz val="9"/>
        <rFont val="Arial"/>
        <family val="2"/>
      </rPr>
      <t>V</t>
    </r>
    <r>
      <rPr>
        <sz val="9"/>
        <rFont val="Arial"/>
        <family val="2"/>
      </rPr>
      <t>a</t>
    </r>
    <r>
      <rPr>
        <u/>
        <sz val="9"/>
        <rFont val="Arial"/>
        <family val="2"/>
      </rPr>
      <t>l</t>
    </r>
    <r>
      <rPr>
        <sz val="9"/>
        <rFont val="Arial"/>
        <family val="2"/>
      </rPr>
      <t>idation to ensure that only acceptable values are entered</t>
    </r>
  </si>
  <si>
    <t>Acceptable values</t>
  </si>
  <si>
    <t>Minimum</t>
  </si>
  <si>
    <t>Maximum</t>
  </si>
  <si>
    <r>
      <t xml:space="preserve">If a parameter can take only one of a small number of values, consider using </t>
    </r>
    <r>
      <rPr>
        <u/>
        <sz val="9"/>
        <rFont val="Arial"/>
        <family val="2"/>
      </rPr>
      <t>D</t>
    </r>
    <r>
      <rPr>
        <sz val="9"/>
        <rFont val="Arial"/>
        <family val="2"/>
      </rPr>
      <t>ata Va</t>
    </r>
    <r>
      <rPr>
        <u/>
        <sz val="9"/>
        <rFont val="Arial"/>
        <family val="2"/>
      </rPr>
      <t>l</t>
    </r>
    <r>
      <rPr>
        <sz val="9"/>
        <rFont val="Arial"/>
        <family val="2"/>
      </rPr>
      <t xml:space="preserve">idation </t>
    </r>
    <r>
      <rPr>
        <u/>
        <sz val="9"/>
        <rFont val="Arial"/>
        <family val="2"/>
      </rPr>
      <t>A</t>
    </r>
    <r>
      <rPr>
        <sz val="9"/>
        <rFont val="Arial"/>
        <family val="2"/>
      </rPr>
      <t xml:space="preserve">llow </t>
    </r>
    <r>
      <rPr>
        <u/>
        <sz val="9"/>
        <rFont val="Arial"/>
        <family val="2"/>
      </rPr>
      <t>L</t>
    </r>
    <r>
      <rPr>
        <sz val="9"/>
        <rFont val="Arial"/>
        <family val="2"/>
      </rPr>
      <t xml:space="preserve">ist with </t>
    </r>
    <r>
      <rPr>
        <u/>
        <sz val="9"/>
        <rFont val="Arial"/>
        <family val="2"/>
      </rPr>
      <t>I</t>
    </r>
    <r>
      <rPr>
        <sz val="9"/>
        <rFont val="Arial"/>
        <family val="2"/>
      </rPr>
      <t>n-cell dropdown selected</t>
    </r>
  </si>
  <si>
    <t>Unhighlight</t>
  </si>
  <si>
    <t>And one that isn't anymore</t>
  </si>
  <si>
    <t>NB All number styles use the decimal symbol and digit grouping symbol (thousands separator) defined under Regional Options in Control Panel. So if you want to change them do it there, and not here in Excel !</t>
  </si>
  <si>
    <t>(Table unshading)</t>
  </si>
  <si>
    <t>NB Most number styles leave space for a ')' to the right of the number, but only the Currency styles actually use '(…)' for negatives</t>
  </si>
  <si>
    <t>Input Estimate</t>
  </si>
  <si>
    <t>An estimate used in the absence of real data (only change if you have a better estimate, or real data )</t>
  </si>
  <si>
    <t>Use these styles to format headings</t>
  </si>
  <si>
    <t>Heading styles</t>
  </si>
  <si>
    <t>Input cell styles</t>
  </si>
  <si>
    <t>Use these styles to identify inputs to a model</t>
  </si>
  <si>
    <t>Other cell styles</t>
  </si>
  <si>
    <t>Use these styles to identify the role of other cells in a model</t>
  </si>
  <si>
    <t>A note (NB smaller than standard font size)</t>
  </si>
  <si>
    <t>ADSL</t>
  </si>
  <si>
    <t>Cable Modem</t>
  </si>
  <si>
    <t>Dial-up</t>
  </si>
  <si>
    <t>Number of subscribers (year end)</t>
  </si>
  <si>
    <t>Total</t>
  </si>
  <si>
    <t>A simple table</t>
  </si>
  <si>
    <t>A more complex table</t>
  </si>
  <si>
    <t>NB Use Window Unfreeze Panes (on each worksheet) to have row 1 scroll with the rest of the worksheet</t>
  </si>
  <si>
    <t>Number of subscribers (simple year average)</t>
  </si>
  <si>
    <t>Subscribers.Year Average.Total</t>
  </si>
  <si>
    <t>NB To avoid having spurious names in this template the names shown below have not actually been created</t>
  </si>
  <si>
    <t>Column label</t>
  </si>
  <si>
    <t>Input Link (different Workbook)</t>
  </si>
  <si>
    <t>An input to this part of the model, which is linked to a source on a worksheet in a different workbook</t>
  </si>
  <si>
    <t>Checksum</t>
  </si>
  <si>
    <t>Column label (left aligned)</t>
  </si>
  <si>
    <t>Column label (not bold)</t>
  </si>
  <si>
    <t>Subscribers.Year End.By Service</t>
  </si>
  <si>
    <t>Service</t>
  </si>
  <si>
    <t>Units</t>
  </si>
  <si>
    <t>Subscribers</t>
  </si>
  <si>
    <t>From above</t>
  </si>
  <si>
    <t>From Cable_modem.xls</t>
  </si>
  <si>
    <t>Linear interpolation</t>
  </si>
  <si>
    <t>Column label (no wrap)</t>
  </si>
  <si>
    <t>NB These styles change most aspects of a cell's formatting (all except Number and Alignment)</t>
  </si>
  <si>
    <t>NB These styles change a variety of different aspects of a cell's formatting (as appropriate to the context)</t>
  </si>
  <si>
    <t>Input Link (different Worksheet)</t>
  </si>
  <si>
    <t>An input to this part of the model, which is linked to a source on this worksheet within this workbook</t>
  </si>
  <si>
    <t>An input to this part of the model, which is linked to a source on another worksheet within this workbook</t>
  </si>
  <si>
    <r>
      <t xml:space="preserve">NB Consider using Insert &gt; Header &amp; Footer &gt; Sheet &gt; </t>
    </r>
    <r>
      <rPr>
        <u/>
        <sz val="8"/>
        <rFont val="Arial"/>
        <family val="2"/>
      </rPr>
      <t>R</t>
    </r>
    <r>
      <rPr>
        <sz val="8"/>
        <rFont val="Arial"/>
        <family val="2"/>
      </rPr>
      <t>ows to repeat at top: $1:$1 to include row 1 at the top of all printed pages</t>
    </r>
  </si>
  <si>
    <t>Style guidelines</t>
  </si>
  <si>
    <t>Sheet title</t>
  </si>
  <si>
    <t>Consider using Conditional Formatting (on Home tab) to highlight unacceptable results of cross-check calculations (e.g. non-zero)</t>
  </si>
  <si>
    <r>
      <t xml:space="preserve">An Excel Name applying to one or more adjacent cells – use Create from Selection (on Formulas tab) </t>
    </r>
    <r>
      <rPr>
        <sz val="9"/>
        <rFont val="Arial"/>
        <family val="2"/>
      </rPr>
      <t>to actually create the Excel Names</t>
    </r>
  </si>
  <si>
    <t>H0</t>
  </si>
  <si>
    <t>Heading level 0</t>
  </si>
  <si>
    <t>An input to the model that has been calculated from other inputs (e.g. interpolated input values)</t>
  </si>
  <si>
    <t>Listas</t>
  </si>
  <si>
    <t>Años</t>
  </si>
  <si>
    <t>Years</t>
  </si>
  <si>
    <t>Year.selected</t>
  </si>
  <si>
    <t>years.client.retention</t>
  </si>
  <si>
    <t>#</t>
  </si>
  <si>
    <t>vector.plans.names</t>
  </si>
  <si>
    <t>Nombres de planes y paquetes principales</t>
  </si>
  <si>
    <t>Mercado</t>
  </si>
  <si>
    <t>Concepto</t>
  </si>
  <si>
    <t>Unidad</t>
  </si>
  <si>
    <t>Nombre</t>
  </si>
  <si>
    <t>Notas</t>
  </si>
  <si>
    <t>%</t>
  </si>
  <si>
    <t>Cuota de Mercado del AEP</t>
  </si>
  <si>
    <t>Nombre de plan/paquete</t>
  </si>
  <si>
    <t>Tipo de Servicio</t>
  </si>
  <si>
    <t>Modalidad</t>
  </si>
  <si>
    <t>Suscripciones de banda ancha fija</t>
  </si>
  <si>
    <t># suscripciones</t>
  </si>
  <si>
    <t>% respecto a total de suscripciones del mercado</t>
  </si>
  <si>
    <t>Residenciales</t>
  </si>
  <si>
    <t># líneas</t>
  </si>
  <si>
    <t>Residencial</t>
  </si>
  <si>
    <t>Fin</t>
  </si>
  <si>
    <t>*</t>
  </si>
  <si>
    <t>MXN</t>
  </si>
  <si>
    <t>Índice de rotación (Churn)</t>
  </si>
  <si>
    <t>Relacionados a la captación de usuarios</t>
  </si>
  <si>
    <t>Costos de facturación (incluyendo el sistema de facturación a clientes minoristas)</t>
  </si>
  <si>
    <t>Asociados a deuda incobrable</t>
  </si>
  <si>
    <t>Costos de ventas y marketing por suscriptor bruto adicional</t>
  </si>
  <si>
    <t>Costos de alquiler de oficinas (por metro cuadrado al mes)</t>
  </si>
  <si>
    <r>
      <t>MXN / Mes / m</t>
    </r>
    <r>
      <rPr>
        <vertAlign val="superscript"/>
        <sz val="9"/>
        <rFont val="Arial"/>
        <family val="2"/>
      </rPr>
      <t>2</t>
    </r>
  </si>
  <si>
    <t>MXN / Suscriptor bruto adicional</t>
  </si>
  <si>
    <t>Atención al cliente minorista (incluyendo asistencia técnica de primera línea)</t>
  </si>
  <si>
    <t>Marketing y publicidad</t>
  </si>
  <si>
    <t># Suscriptor / empleado</t>
  </si>
  <si>
    <t>MXN / empleado</t>
  </si>
  <si>
    <t>Monthly.cost.per.staff</t>
  </si>
  <si>
    <t>Costos generales y administrativos</t>
  </si>
  <si>
    <t>Rent.per.sqm</t>
  </si>
  <si>
    <t>Parámetros asociados a costos de los servicios</t>
  </si>
  <si>
    <t>Beneficio minorista</t>
  </si>
  <si>
    <t>Número promedio de suscriptores atendidos por empleado:</t>
  </si>
  <si>
    <t>Retail.profit</t>
  </si>
  <si>
    <t>Line.rental.churn</t>
  </si>
  <si>
    <t>Billing.cost</t>
  </si>
  <si>
    <t>Bad.debt.cost</t>
  </si>
  <si>
    <t>Deuda incobrable sobre el total de ingresos</t>
  </si>
  <si>
    <t>Costos de facturación (incluyendo el sistema de facturación a clientes minoristas) sobre el total de ingresos</t>
  </si>
  <si>
    <t xml:space="preserve">Gasto mínimo en marketing en ventas sobre el total de ingresos </t>
  </si>
  <si>
    <t>Costo mensual por empleado dedicado a la atención del cliente minorista</t>
  </si>
  <si>
    <t>Costos administrativos sobre el total de ingresos (incluye personal de soporte IT, recursos humanos, estrategia, finanzas, etc.)</t>
  </si>
  <si>
    <t>Admin.staff.per.customer.care.staff</t>
  </si>
  <si>
    <t>Admin.costs</t>
  </si>
  <si>
    <t xml:space="preserve">Personal administrativo (incluyendo personal de marketing y ventas) por empleado de atención al cliente </t>
  </si>
  <si>
    <t>Superficie de suelo usada por empleado</t>
  </si>
  <si>
    <r>
      <t>m</t>
    </r>
    <r>
      <rPr>
        <vertAlign val="superscript"/>
        <sz val="9"/>
        <rFont val="Arial"/>
        <family val="2"/>
      </rPr>
      <t>2</t>
    </r>
    <r>
      <rPr>
        <sz val="9"/>
        <rFont val="Arial"/>
        <family val="2"/>
      </rPr>
      <t xml:space="preserve"> / empleado</t>
    </r>
  </si>
  <si>
    <t>Floorspace.per.staff</t>
  </si>
  <si>
    <t>Estimaciones</t>
  </si>
  <si>
    <t>Nombre de plan o paquete</t>
  </si>
  <si>
    <t>Tipo de servicio</t>
  </si>
  <si>
    <t>Porcentaje respecto al total</t>
  </si>
  <si>
    <t>Modalidad del servicio</t>
  </si>
  <si>
    <t>Periodicidad asumida para estimación de ingresos</t>
  </si>
  <si>
    <t>Periodicidad</t>
  </si>
  <si>
    <t>vector.periodicity</t>
  </si>
  <si>
    <t>Información general de planes y paquetes</t>
  </si>
  <si>
    <t># Suscripciones</t>
  </si>
  <si>
    <t>Meses</t>
  </si>
  <si>
    <t>Check</t>
  </si>
  <si>
    <t>Verifica consistencia con la cantidad de suscripciones de banda ancha fija del operador</t>
  </si>
  <si>
    <t>MXN/ Mes</t>
  </si>
  <si>
    <r>
      <rPr>
        <b/>
        <sz val="9"/>
        <rFont val="Arial"/>
        <family val="2"/>
      </rPr>
      <t>Fuente:</t>
    </r>
    <r>
      <rPr>
        <sz val="9"/>
        <rFont val="Arial"/>
        <family val="2"/>
      </rPr>
      <t xml:space="preserve"> Estimación IFT</t>
    </r>
  </si>
  <si>
    <t>Estimación del valor dentro del plan/paquetes de los conceptos que integran el servicio</t>
  </si>
  <si>
    <t>MXN/Mes</t>
  </si>
  <si>
    <r>
      <rPr>
        <b/>
        <sz val="9"/>
        <rFont val="Arial"/>
        <family val="2"/>
      </rPr>
      <t xml:space="preserve">Fuente: </t>
    </r>
    <r>
      <rPr>
        <sz val="9"/>
        <rFont val="Arial"/>
        <family val="2"/>
      </rPr>
      <t>Estimación IFT</t>
    </r>
  </si>
  <si>
    <t>Año de referencia</t>
  </si>
  <si>
    <t>año</t>
  </si>
  <si>
    <t>Control</t>
  </si>
  <si>
    <t>Otros parámetros relevantes</t>
  </si>
  <si>
    <t>años</t>
  </si>
  <si>
    <t>weighted.average.local.loop.by.plan</t>
  </si>
  <si>
    <t>Precio implícito promedio (simple)</t>
  </si>
  <si>
    <t>1=Si, 0=No</t>
  </si>
  <si>
    <t>A partir de promedio simple</t>
  </si>
  <si>
    <t>Interpolado con función potencial</t>
  </si>
  <si>
    <t>Extrapolación de precio implícito por perfil</t>
  </si>
  <si>
    <t>Cálculos auxiliares</t>
  </si>
  <si>
    <t>Suscriptores adicionales netos</t>
  </si>
  <si>
    <t>Suscriptores adicionales brutos</t>
  </si>
  <si>
    <t>No residenciales</t>
  </si>
  <si>
    <t>Ingresos por instalaciones de líneas</t>
  </si>
  <si>
    <t>Ingresos por renta mensual - antes desde considerar precios implícitos</t>
  </si>
  <si>
    <t>Ingresos por renta mensual - considerando precios implícitos de los servicios</t>
  </si>
  <si>
    <t>MXN/año</t>
  </si>
  <si>
    <t>Estimación de ingresos anuales</t>
  </si>
  <si>
    <t>Estimación de costos evitados</t>
  </si>
  <si>
    <t>Costos de facturación (incluyendo el sistema de facturación de clientes minoristas)</t>
  </si>
  <si>
    <t>Costos de facturación</t>
  </si>
  <si>
    <t>Deuda incobrable</t>
  </si>
  <si>
    <t xml:space="preserve">Costo de la deuda incobrable sobre el total de ingresos </t>
  </si>
  <si>
    <t>Número de suscriptores por empleado</t>
  </si>
  <si>
    <t>Costo mensual por empleado</t>
  </si>
  <si>
    <t>Costos minoristas de atención al cliente</t>
  </si>
  <si>
    <t>Personal de atención al cliente minorista</t>
  </si>
  <si>
    <t>Personal administrativo</t>
  </si>
  <si>
    <t>Total empleados</t>
  </si>
  <si>
    <t>Costos de alquiler de oficinas</t>
  </si>
  <si>
    <t>Superficie de suelo por empleado</t>
  </si>
  <si>
    <t>Costos por metro cuadrado</t>
  </si>
  <si>
    <t>Costos administrativos sobre el total de ingresos</t>
  </si>
  <si>
    <t xml:space="preserve">Total costos retail minus </t>
  </si>
  <si>
    <t xml:space="preserve">Costos de marketing y ventas por suscriptor bruto adicional </t>
  </si>
  <si>
    <t xml:space="preserve">Gasto mínimo en marketing y ventas sobre el total de ingresos </t>
  </si>
  <si>
    <t>Costos de marketing y publicidad</t>
  </si>
  <si>
    <t>Diferencial de ingresos al considerar precios implícitos</t>
  </si>
  <si>
    <t>Resumen</t>
  </si>
  <si>
    <t># empleados</t>
  </si>
  <si>
    <t>Total costos retail minus</t>
  </si>
  <si>
    <t>Otros costos (y ganancias)</t>
  </si>
  <si>
    <t>Total ingresos (antes de considerar precios implícitos)</t>
  </si>
  <si>
    <t>Diferencial de ingresos y total de costos evitados</t>
  </si>
  <si>
    <t>Costos evitados asociados</t>
  </si>
  <si>
    <t>Nivel de descuento total</t>
  </si>
  <si>
    <t>Cálculos principales</t>
  </si>
  <si>
    <t>Año de referencia para el que se realizan las estimaciones</t>
  </si>
  <si>
    <t>Periodo de retención de cliente</t>
  </si>
  <si>
    <t>Factor de representación del precio implícito</t>
  </si>
  <si>
    <t>Interpolación del precio por Mbps para estimar el precio por perfil</t>
  </si>
  <si>
    <t>MXN / Mes / m2</t>
  </si>
  <si>
    <t xml:space="preserve">Margen de beneficios sobre costos evitados
</t>
  </si>
  <si>
    <t>Parámetro de reposición de equipos terminales</t>
  </si>
  <si>
    <t>equipo.terminal.parameter</t>
  </si>
  <si>
    <t>Modelo anterior 2017</t>
  </si>
  <si>
    <t>Modelo anterior 2018</t>
  </si>
  <si>
    <t>Modelo anterior 2019</t>
  </si>
  <si>
    <t>Distriibución porcentual de los suscriptores por medio de transmissión</t>
  </si>
  <si>
    <t xml:space="preserve">Datos para la estimación* </t>
  </si>
  <si>
    <t>Otros servicios</t>
  </si>
  <si>
    <r>
      <rPr>
        <b/>
        <sz val="9"/>
        <rFont val="Arial"/>
        <family val="2"/>
      </rPr>
      <t xml:space="preserve">Fuente: </t>
    </r>
    <r>
      <rPr>
        <sz val="9"/>
        <rFont val="Arial"/>
        <family val="2"/>
      </rPr>
      <t>Banco de Información de Telecomunicaciones, IFT (https://bit.ift.org.mx/BitWebApp/)</t>
    </r>
  </si>
  <si>
    <t>TV Básico Plus</t>
  </si>
  <si>
    <t>TV Básico Plus + 100 Megas</t>
  </si>
  <si>
    <t>TV Básico Plus + 100 Megas Simetrico</t>
  </si>
  <si>
    <t>TV Básico Plus + 1000 Megas</t>
  </si>
  <si>
    <t>TV Básico Plus + 250 Megas</t>
  </si>
  <si>
    <t>TV Básico Plus + 250 Megas Simetrico</t>
  </si>
  <si>
    <t>TV Básico Plus + 500 Megas</t>
  </si>
  <si>
    <t>TV Básico Plus + 500 Megas Simetrico</t>
  </si>
  <si>
    <t>TV Básico Plus + 60 Megas</t>
  </si>
  <si>
    <t>TV Básico Plus + 60 Megas Simetrico</t>
  </si>
  <si>
    <t>TV Básico Plus + HD + Telefonía + 100 Megas</t>
  </si>
  <si>
    <t>TV Básico Plus + HD + Telefonía + 100 Megas Simetrico</t>
  </si>
  <si>
    <t>TV Básico Plus + HD + Telefonía + 1000 Megas</t>
  </si>
  <si>
    <t>TV Básico Plus + HD + Telefonía + 250 Megas</t>
  </si>
  <si>
    <t>TV Básico Plus + HD + Telefonía + 250 Megas Simetrico</t>
  </si>
  <si>
    <t>TV Básico Plus + HD + Telefonía + 500 Megas</t>
  </si>
  <si>
    <t>TV Básico Plus + HD + Telefonía + 500 Megas Simetrico</t>
  </si>
  <si>
    <t>TV Básico Plus + HD + Telefonía + 60 Megas</t>
  </si>
  <si>
    <t>TV Básico Plus + HD + Telefonía + 60 Megas Simetrico</t>
  </si>
  <si>
    <t>TV Básico Plus + HD Negocio + Telefonía Negocio + 100 Megas Negocio</t>
  </si>
  <si>
    <t>TV Básico Plus + HD Negocio + Telefonía Negocio + 100 Megas Simetrico Negocio</t>
  </si>
  <si>
    <t>TV Básico Plus + HD Negocio + Telefonía Negocio + 1000 Megas Negocio</t>
  </si>
  <si>
    <t>TV Básico Plus + HD Negocio + Telefonía Negocio + 250 Megas Negocio</t>
  </si>
  <si>
    <t>TV Básico Plus + HD Negocio + Telefonía Negocio + 250 Megas Simetrico Negocio</t>
  </si>
  <si>
    <t>TV Básico Plus + HD Negocio + Telefonía Negocio + 500 Megas Negocio</t>
  </si>
  <si>
    <t>TV Básico Plus + HD Negocio + Telefonía Negocio + 500 Megas Simetrico Negocio</t>
  </si>
  <si>
    <t>TV Básico Plus + HD Negocio + Telefonía Negocio + 60 Megas Negocio</t>
  </si>
  <si>
    <t>TV Básico Plus + HD Negocio + Telefonía Negocio + 60 Megas Simetrico Negocio</t>
  </si>
  <si>
    <t>TV Básico Plus Negocio + 100 Megas Negocio</t>
  </si>
  <si>
    <t>TV Básico Plus Negocio + 100 Megas Simetrico Negocio</t>
  </si>
  <si>
    <t>TV Básico Plus Negocio + 1000 Megas Negocio</t>
  </si>
  <si>
    <t>TV Básico Plus Negocio + 250 Megas Negocio</t>
  </si>
  <si>
    <t>TV Básico Plus Negocio + 250 Megas Simetrico Negocio</t>
  </si>
  <si>
    <t>TV Básico Plus Negocio + 500 Megas Negocio</t>
  </si>
  <si>
    <t>TV Básico Plus Negocio + 500 Megas Simetrico Negocio</t>
  </si>
  <si>
    <t>TV Básico Plus Negocio + 60 Megas Negocio</t>
  </si>
  <si>
    <t>TV Básico Plus Negocio + 60 Megas Simetrico Negocio</t>
  </si>
  <si>
    <t>TV Básico Plus Xview+ + Telefonía + 100 Megas</t>
  </si>
  <si>
    <t>TV Básico Plus Xview+ + Telefonía + 100 Megas Simetrico</t>
  </si>
  <si>
    <t>TV Básico Plus Xview+ + Telefonía + 1000 Megas</t>
  </si>
  <si>
    <t>TV Básico Plus Xview+ + Telefonía + 250 Megas</t>
  </si>
  <si>
    <t>TV Básico Plus Xview+ + Telefonía + 250 Megas Simetrico</t>
  </si>
  <si>
    <t>TV Básico Plus Xview+ + Telefonía + 500 Megas</t>
  </si>
  <si>
    <t>TV Básico Plus Xview+ + Telefonía + 500 Megas Simetrico</t>
  </si>
  <si>
    <t>TV Básico Plus Xview+ + Telefonía + 60 Megas</t>
  </si>
  <si>
    <t>TV Básico Plus Xview+ + Telefonía + 60 Megas Simetrico</t>
  </si>
  <si>
    <t>TV Básico Plus Xview+ Negocio + Telefonía Negocio + 100 Megas Negocio</t>
  </si>
  <si>
    <t>TV Básico Plus Xview+ Negocio + Telefonía Negocio + 100 Megas Simetrico Negocio</t>
  </si>
  <si>
    <t>TV Básico Plus Xview+ Negocio + Telefonía Negocio + 1000 Megas Negocio</t>
  </si>
  <si>
    <t>TV Básico Plus Xview+ Negocio + Telefonía Negocio + 250 Megas Negocio</t>
  </si>
  <si>
    <t>TV Básico Plus Xview+ Negocio + Telefonía Negocio + 250 Megas Simetrico Negocio</t>
  </si>
  <si>
    <t>TV Básico Plus Xview+ Negocio + Telefonía Negocio + 500 Megas Negocio</t>
  </si>
  <si>
    <t>TV Básico Plus Xview+ Negocio + Telefonía Negocio + 500 Megas Simetrico Negocio</t>
  </si>
  <si>
    <t>TV Básico Plus Xview+ Negocio + Telefonía Negocio + 60 Megas Negocio</t>
  </si>
  <si>
    <t>TV Básico Plus Xview+ Negocio + Telefonía Negocio + 60 Megas Simetrico Negocio</t>
  </si>
  <si>
    <t>TV Conecta</t>
  </si>
  <si>
    <t>TV Conecta + 100 Megas</t>
  </si>
  <si>
    <t>TV Conecta + 100 Megas Simetrico</t>
  </si>
  <si>
    <t>TV Conecta + 1000 Megas</t>
  </si>
  <si>
    <t>TV Conecta + 250 Megas</t>
  </si>
  <si>
    <t>TV Conecta + 250 Megas Simetrico</t>
  </si>
  <si>
    <t>TV Conecta + 500 Megas</t>
  </si>
  <si>
    <t>TV Conecta + 500 Megas Simetrico</t>
  </si>
  <si>
    <t>TV Conecta + 60 Megas</t>
  </si>
  <si>
    <t>TV Conecta + 60 Megas Simetrico</t>
  </si>
  <si>
    <t>TV Conecta + HD + Telefonía + 100 Megas</t>
  </si>
  <si>
    <t>TV Conecta + HD + Telefonía + 100 Megas Simetrico</t>
  </si>
  <si>
    <t>TV Conecta + HD + Telefonía + 1000 Megas</t>
  </si>
  <si>
    <t>TV Conecta + HD + Telefonía + 250 Megas</t>
  </si>
  <si>
    <t>TV Conecta + HD + Telefonía + 250 Megas Simetrico</t>
  </si>
  <si>
    <t>TV Conecta + HD + Telefonía + 500 Megas</t>
  </si>
  <si>
    <t>TV Conecta + HD + Telefonía + 500 Megas Simetrico</t>
  </si>
  <si>
    <t>TV Conecta + HD + Telefonía + 60 Megas</t>
  </si>
  <si>
    <t>TV Conecta + HD + Telefonía + 60 Megas Simetrico</t>
  </si>
  <si>
    <t>TV Conecta + HD Negocio + Telefonía Negocio + 100 Megas Negocio</t>
  </si>
  <si>
    <t>TV Conecta + HD Negocio + Telefonía Negocio + 100 Megas Simetrico Negocio</t>
  </si>
  <si>
    <t>TV Conecta + HD Negocio + Telefonía Negocio + 1000 Megas Negocio</t>
  </si>
  <si>
    <t>TV Conecta + HD Negocio + Telefonía Negocio + 250 Megas Negocio</t>
  </si>
  <si>
    <t>TV Conecta + HD Negocio + Telefonía Negocio + 250 Megas Simetrico Negocio</t>
  </si>
  <si>
    <t>TV Conecta + HD Negocio + Telefonía Negocio + 500 Megas Negocio</t>
  </si>
  <si>
    <t>TV Conecta + HD Negocio + Telefonía Negocio + 500 Megas Simetrico Negocio</t>
  </si>
  <si>
    <t>TV Conecta + HD Negocio + Telefonía Negocio + 60 Megas Negocio</t>
  </si>
  <si>
    <t>TV Conecta + HD Negocio + Telefonía Negocio + 60 Megas Simetrico Negocio</t>
  </si>
  <si>
    <t>TV Conecta Negocio + 100 Megas Negocio</t>
  </si>
  <si>
    <t>TV Conecta Negocio + 100 Megas Simetrico Negocio</t>
  </si>
  <si>
    <t>TV Conecta Negocio + 1000 Megas Negocio</t>
  </si>
  <si>
    <t>TV Conecta Negocio + 250 Megas Negocio</t>
  </si>
  <si>
    <t>TV Conecta Negocio + 250 Megas Simetrico Negocio</t>
  </si>
  <si>
    <t>TV Conecta Negocio + 500 Megas Negocio</t>
  </si>
  <si>
    <t>TV Conecta Negocio + 500 Megas Simetrico Negocio</t>
  </si>
  <si>
    <t>TV Conecta Negocio + 60 Megas Negocio</t>
  </si>
  <si>
    <t>TV Conecta Negocio + 60 Megas Simetrico Negocio</t>
  </si>
  <si>
    <t>TV Conecta Xview+ + Telefonía + 100 Megas</t>
  </si>
  <si>
    <t>TV Conecta Xview+ + Telefonía + 100 Megas Simetrico</t>
  </si>
  <si>
    <t>TV Conecta Xview+ + Telefonía + 1000 Megas</t>
  </si>
  <si>
    <t>TV Conecta Xview+ + Telefonía + 250 Megas</t>
  </si>
  <si>
    <t>TV Conecta Xview+ + Telefonía + 250 Megas Simetrico</t>
  </si>
  <si>
    <t>TV Conecta Xview+ + Telefonía + 500 Megas</t>
  </si>
  <si>
    <t>TV Conecta Xview+ + Telefonía + 500 Megas Simetrico</t>
  </si>
  <si>
    <t>TV Conecta Xview+ + Telefonía + 60 Megas</t>
  </si>
  <si>
    <t>TV Conecta Xview+ + Telefonía + 60 Megas Simetrico</t>
  </si>
  <si>
    <t>TV Conecta Xview+ Negocio + Telefonía Negocio + 100 Megas Negocio</t>
  </si>
  <si>
    <t>TV Conecta Xview+ Negocio + Telefonía Negocio + 100 Megas Simetrico Negocio</t>
  </si>
  <si>
    <t>TV Conecta Xview+ Negocio + Telefonía Negocio + 1000 Megas Negocio</t>
  </si>
  <si>
    <t>TV Conecta Xview+ Negocio + Telefonía Negocio + 250 Megas Negocio</t>
  </si>
  <si>
    <t>TV Conecta Xview+ Negocio + Telefonía Negocio + 250 Megas Simetrico Negocio</t>
  </si>
  <si>
    <t>TV Conecta Xview+ Negocio + Telefonía Negocio + 500 Megas Negocio</t>
  </si>
  <si>
    <t>TV Conecta Xview+ Negocio + Telefonía Negocio + 500 Megas Simetrico Negocio</t>
  </si>
  <si>
    <t>TV Conecta Xview+ Negocio + Telefonía Negocio + 60 Megas Negocio</t>
  </si>
  <si>
    <t>TV Conecta Xview+ Negocio + Telefonía Negocio + 60 Megas Simetrico Negocio</t>
  </si>
  <si>
    <t>Full Connected Home</t>
  </si>
  <si>
    <t>Nombres de planes y paquetes que ofrecen STAR single play</t>
  </si>
  <si>
    <t>vector.star.plans.singleplay.names</t>
  </si>
  <si>
    <t>vector.star.plans.names</t>
  </si>
  <si>
    <t>Nombres de planes y paquetes que ofrecen STAR</t>
  </si>
  <si>
    <t>Distribución suscriptores del AEP por plan/paquete a través se ofrecen servicios de star</t>
  </si>
  <si>
    <t>Canales SD</t>
  </si>
  <si>
    <t>Canales HD</t>
  </si>
  <si>
    <t>Negocio</t>
  </si>
  <si>
    <t>STAR + Internet fijo</t>
  </si>
  <si>
    <t>Solo STAR</t>
  </si>
  <si>
    <t>STAR + Internet fijo + Telefonía fija</t>
  </si>
  <si>
    <t>Distribución de suscriptores del APSM</t>
  </si>
  <si>
    <t>Suscripciones de STAR, residenciales y no residenciales del APSM</t>
  </si>
  <si>
    <t>Suscripciones de STAR, residenciales y no residenciales en los 9 mercados con PSM</t>
  </si>
  <si>
    <t>Distribución porcentual de suscriptores del APSM por plan/paquete a través se ofrecen STAR</t>
  </si>
  <si>
    <t>Residenciales en modalidad, que se proveen con telefonía e internet (i.e. excluyendo STAR en modalidad single play)</t>
  </si>
  <si>
    <t>Resumen de suscripciones del STAR del APSM</t>
  </si>
  <si>
    <t>Suscripciones de STAR del APSM</t>
  </si>
  <si>
    <t>Residenciales y no residenciales en modalidad single play (i.e. sin servicios telefonía fija e internet)</t>
  </si>
  <si>
    <t>Suscripciones de STAR por plan/paquete en el año de referencia</t>
  </si>
  <si>
    <t>Residencial/Negocio</t>
  </si>
  <si>
    <r>
      <rPr>
        <b/>
        <sz val="9"/>
        <rFont val="Arial"/>
        <family val="2"/>
      </rPr>
      <t>Fuente:</t>
    </r>
    <r>
      <rPr>
        <sz val="9"/>
        <rFont val="Arial"/>
        <family val="2"/>
      </rPr>
      <t xml:space="preserve"> APSM</t>
    </r>
  </si>
  <si>
    <t>Solo STAR, STAR + Internet Fijo, STAR + Internet Fijo + Telefonía Fija</t>
  </si>
  <si>
    <t>vector.distribution.users.STAR</t>
  </si>
  <si>
    <t>TV Básico Plus Negocio</t>
  </si>
  <si>
    <t>TV Conecta Negocio</t>
  </si>
  <si>
    <t>Estimación del precio implícito de los servicios asociados al STAR que integran los plaques y paquetes</t>
  </si>
  <si>
    <t>Suscriptores</t>
  </si>
  <si>
    <t>Nombbre plan/paquete</t>
  </si>
  <si>
    <t>Tipo</t>
  </si>
  <si>
    <t>Total canales</t>
  </si>
  <si>
    <t>Distribución de suscriptores</t>
  </si>
  <si>
    <t>Precio implícito otros servicios</t>
  </si>
  <si>
    <t>Canales totales</t>
  </si>
  <si>
    <t>Número de servicios STAR del APSM</t>
  </si>
  <si>
    <t>Descuentos asociados del STAR</t>
  </si>
  <si>
    <t xml:space="preserve">Información de accesos residenciales </t>
  </si>
  <si>
    <t>STAR</t>
  </si>
  <si>
    <t>vector.implicit.prices.STAR.before.discount</t>
  </si>
  <si>
    <t>vector.implicit.prices.otherservices.before.discount</t>
  </si>
  <si>
    <t>vector.implicit.prices.otherservices.after.discount</t>
  </si>
  <si>
    <t>Valor del STAR (considerando todas las TV que incluye el plan/paquete)</t>
  </si>
  <si>
    <t>Fuente: Estimación IFT</t>
  </si>
  <si>
    <t>TV Básico</t>
  </si>
  <si>
    <t>Canales</t>
  </si>
  <si>
    <t>MXN/ Canal</t>
  </si>
  <si>
    <t>Número de canales por paquete</t>
  </si>
  <si>
    <t>Precio implícito por canal promedio ponderado</t>
  </si>
  <si>
    <t>Datos de mercado del STAR</t>
  </si>
  <si>
    <t>Marketing.and.sales.per.gross.add.STAR</t>
  </si>
  <si>
    <r>
      <t xml:space="preserve">Fuente: </t>
    </r>
    <r>
      <rPr>
        <sz val="9"/>
        <rFont val="Arial"/>
        <family val="2"/>
      </rPr>
      <t>Estimación IFT</t>
    </r>
  </si>
  <si>
    <r>
      <rPr>
        <b/>
        <sz val="9"/>
        <rFont val="Arial"/>
        <family val="2"/>
      </rPr>
      <t>Fuente:</t>
    </r>
    <r>
      <rPr>
        <sz val="9"/>
        <rFont val="Arial"/>
        <family val="2"/>
      </rPr>
      <t xml:space="preserve">  Promedio 2020-2023, a parrtir de datos proporcionados por Megacable. Hoja "8. InformaciónFinanciera".</t>
    </r>
  </si>
  <si>
    <t xml:space="preserve">para servicios de STAR </t>
  </si>
  <si>
    <r>
      <rPr>
        <b/>
        <sz val="9"/>
        <rFont val="Arial"/>
        <family val="2"/>
      </rPr>
      <t>Fuente:</t>
    </r>
    <r>
      <rPr>
        <sz val="9"/>
        <rFont val="Arial"/>
        <family val="2"/>
      </rPr>
      <t xml:space="preserve">  Promedio 2020-2023, a partir de información proporcionada por Megacable. Hoja "8. InformaciónFinanciera".</t>
    </r>
  </si>
  <si>
    <r>
      <rPr>
        <b/>
        <sz val="9"/>
        <rFont val="Arial"/>
        <family val="2"/>
      </rPr>
      <t>Fuente:</t>
    </r>
    <r>
      <rPr>
        <sz val="9"/>
        <rFont val="Arial"/>
        <family val="2"/>
      </rPr>
      <t xml:space="preserve"> WACC Condiciones técnicas mínimas de interconexión 2025</t>
    </r>
  </si>
  <si>
    <t>para servicios STAR</t>
  </si>
  <si>
    <t>Canales totales0</t>
  </si>
  <si>
    <t>Servicios de instalación</t>
  </si>
  <si>
    <t>Cargo por instalación</t>
  </si>
  <si>
    <t>Instalación</t>
  </si>
  <si>
    <t>Precio estimado por canal</t>
  </si>
  <si>
    <t>Representación del precio implícito por canal</t>
  </si>
  <si>
    <t>Precios implícitos estimados para los servicios asociados al STAR</t>
  </si>
  <si>
    <t>Proporción de valor de la instalación en la renta mensual de los servicios (STAR).</t>
  </si>
  <si>
    <t>Estimación del precio promedio por canal STAR</t>
  </si>
  <si>
    <r>
      <t>Fuente:</t>
    </r>
    <r>
      <rPr>
        <sz val="9"/>
        <rFont val="Arial"/>
        <family val="2"/>
      </rPr>
      <t xml:space="preserve"> Tasa de desconexión mensual promedio para servicios de cable 2021-2023. Disponible en el informe anual 2023 de Megacable.</t>
    </r>
  </si>
  <si>
    <t>Customer.care.line.STAR.per.staff</t>
  </si>
  <si>
    <t>Marketing.and.sales.minimum.proportion.STAR</t>
  </si>
  <si>
    <t xml:space="preserve">Matriz función indicadora del número de canales </t>
  </si>
  <si>
    <t>Planes y paquetes STAR</t>
  </si>
  <si>
    <t>% de suscripciones residenciales y no residenciales del APSM</t>
  </si>
  <si>
    <r>
      <t xml:space="preserve">Fuente: </t>
    </r>
    <r>
      <rPr>
        <sz val="9"/>
        <rFont val="Arial"/>
        <family val="2"/>
      </rPr>
      <t>Estimaciones IFT, a partir de datos APSM</t>
    </r>
  </si>
  <si>
    <t>STAR.suscriptions.market</t>
  </si>
  <si>
    <t>Base integrada de planes y paquetes en los 9 mercados determinados en la Resolución APSM</t>
  </si>
  <si>
    <t>Suscriptores 2024 en los 9 municipios determinados en la Resolución APSM
Fuente: APSM</t>
  </si>
  <si>
    <t>Distribución % suscriptores en los 9 municipios determinados en la Resolución APSM
Fuente APSM</t>
  </si>
  <si>
    <t>Renta mensual (mediana) en los 9 municipios determinados en la Resolución APSM
Fuente: Estimado a partir de datos APSM.</t>
  </si>
  <si>
    <t>Precio implícito STAR Fuente: Estimado IFT</t>
  </si>
  <si>
    <t>Canales totales en los 9 municipios determinados en la Resolución APSM
Fuente: APSM</t>
  </si>
  <si>
    <t xml:space="preserve">Canales HD en los 9 municipios determinados en la Resolución APSM
Fuente: APSM
</t>
  </si>
  <si>
    <t>Canales SD promedio en los 9 municipios determinados en la Resolución APSM.
Fuente: APSM</t>
  </si>
  <si>
    <t>vector.users.STAR</t>
  </si>
  <si>
    <t>APSM.STAR.distribution.by.plan</t>
  </si>
  <si>
    <t>APSM.STAR.subs.by.plan</t>
  </si>
  <si>
    <t>APSM.STAR.subs.residential</t>
  </si>
  <si>
    <t>APSM.STAR.subs.residential.with.line.rental</t>
  </si>
  <si>
    <t>APSM.STAR.subs.residential.without.line.rental</t>
  </si>
  <si>
    <t>APSM.STAR.subs.non.residential</t>
  </si>
  <si>
    <t>STAR.suscriptions.APSM</t>
  </si>
  <si>
    <t>STAR.suscriptions.market.share.APSM</t>
  </si>
  <si>
    <t>Suscriptores por canal</t>
  </si>
  <si>
    <t>Precio implícito estimado para STAR incluidos en renta mensual</t>
  </si>
  <si>
    <t>Retail.minus.line.STAR</t>
  </si>
  <si>
    <t>Retail.minus.line.STAR.retail.minus.items.only</t>
  </si>
  <si>
    <r>
      <rPr>
        <b/>
        <sz val="9"/>
        <rFont val="Arial"/>
        <family val="2"/>
      </rPr>
      <t>Fuente:</t>
    </r>
    <r>
      <rPr>
        <sz val="9"/>
        <rFont val="Arial"/>
        <family val="2"/>
      </rPr>
      <t xml:space="preserve">  Promedio 2021-2022, a parrtir de datos de deuda incobrable respecto de los ingresos operativos STAR. Separación Contable.</t>
    </r>
  </si>
  <si>
    <t>Promedio anual de líneas que brindan servicios en modalidad single play</t>
  </si>
  <si>
    <t>Información de accesos residenciales y negocio</t>
  </si>
  <si>
    <t>Información de accesos negocio</t>
  </si>
  <si>
    <t>Resultados</t>
  </si>
  <si>
    <t>Renta Mensual</t>
  </si>
  <si>
    <t>Precio mayorista, excluyendo impuestos</t>
  </si>
  <si>
    <t>Precios implícitos</t>
  </si>
  <si>
    <t>Estimación de tarifas del Servicio de Reventa  STAR individual</t>
  </si>
  <si>
    <t>vector.implicit.prices.STAR.after.discount</t>
  </si>
  <si>
    <t>Usuarios</t>
  </si>
  <si>
    <t>retail.minus.STAR.doble</t>
  </si>
  <si>
    <t>retail.minus.STAR.triple</t>
  </si>
  <si>
    <t>Retail minus STAR doble play</t>
  </si>
  <si>
    <t>Retail minus STAR triple play</t>
  </si>
  <si>
    <t>Distribución de usuarios %</t>
  </si>
  <si>
    <t>Estimación de tarifas del Servicio de Reventa del STAR empaquetado doble play</t>
  </si>
  <si>
    <t>Estimación de tarifas del Servicio de Reventa del STAR empaquetado triple play</t>
  </si>
  <si>
    <t xml:space="preserve">Retail minus STAR </t>
  </si>
  <si>
    <t>intalación</t>
  </si>
  <si>
    <t>installation.charge</t>
  </si>
  <si>
    <t>Nombre de plan/paquete*</t>
  </si>
  <si>
    <t>**Aplican las mismas condiciones tanto paquetes Xview + o HD.</t>
  </si>
  <si>
    <t>Datos aportados por el AEPSM</t>
  </si>
  <si>
    <t>Los datos presentes en las hojas ubicadas a la derecha fueron aportados por AEPSM para el desarrollo del modelo en comento</t>
  </si>
  <si>
    <t>Resultados del modelo con …</t>
  </si>
  <si>
    <t>Datos sin anonimizar</t>
  </si>
  <si>
    <t>Datos anonimizados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</si>
</sst>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43" formatCode="_-* #,##0.00_-;\-* #,##0.00_-;_-* &quot;-&quot;??_-;_-@_-"/>
    <numFmt numFmtId="164" formatCode="#,##0_);[Red]\-#,##0_);0_);@_)"/>
    <numFmt numFmtId="165" formatCode="#,##0.00_);[Red]\-#,##0.00_);0.00_);@_)"/>
    <numFmt numFmtId="166" formatCode="#,##0%;[Red]\-#,##0%;0%;@_)"/>
    <numFmt numFmtId="167" formatCode="#,##0.00%;[Red]\-#,##0.00%;0.00%;@_)"/>
    <numFmt numFmtId="168" formatCode="dd\ mmm\ yy_)"/>
    <numFmt numFmtId="169" formatCode="* _(#,##0_);[Red]* \(#,##0\);* _(&quot;-&quot;?_);@_)"/>
    <numFmt numFmtId="170" formatCode="* _(#,##0.00_);[Red]* \(#,##0.00\);* _(&quot;-&quot;?_);@_)"/>
    <numFmt numFmtId="171" formatCode="\€\ * _(#,##0_);[Red]\€\ * \(#,##0\);\€\ * _(&quot;-&quot;?_);@_)"/>
    <numFmt numFmtId="172" formatCode="\€\ * _(#,##0.00_);[Red]\€\ * \(#,##0.00\);\€\ * _(&quot;-&quot;?_);@_)"/>
    <numFmt numFmtId="173" formatCode="[$EUR]\ * _(#,##0_);[Red][$EUR]\ * \(#,##0\);[$EUR]\ * _(&quot;-&quot;?_);@_)"/>
    <numFmt numFmtId="174" formatCode="[$EUR]\ * _(#,##0.00_);[Red][$EUR]\ * \(#,##0.00\);[$EUR]\ * _(&quot;-&quot;?_);@_)"/>
    <numFmt numFmtId="175" formatCode="\$\ * _(#,##0_);[Red]\$\ * \(#,##0\);\$\ * _(&quot;-&quot;?_);@_)"/>
    <numFmt numFmtId="176" formatCode="\$\ * _(#,##0.00_);[Red]\$\ * \(#,##0.00\);\$\ * _(&quot;-&quot;?_);@_)"/>
    <numFmt numFmtId="177" formatCode="[$USD]\ * _(#,##0_);[Red][$USD]\ * \(#,##0\);[$USD]\ * _(&quot;-&quot;?_);@_)"/>
    <numFmt numFmtId="178" formatCode="[$USD]\ * _(#,##0.00_);[Red][$USD]\ * \(#,##0.00\);[$USD]\ * _(&quot;-&quot;?_);@_)"/>
    <numFmt numFmtId="179" formatCode="\£\ * _(#,##0_);[Red]\£\ * \(#,##0\);\£\ * _(&quot;-&quot;?_);@_)"/>
    <numFmt numFmtId="180" formatCode="\£\ * _(#,##0.00_);[Red]\£\ * \(#,##0.00\);\£\ * _(&quot;-&quot;?_);@_)"/>
    <numFmt numFmtId="181" formatCode="[$GBP]\ * _(#,##0_);[Red][$GBP]\ * \(#,##0\);[$GBP]\ * _(&quot;-&quot;?_);@_)"/>
    <numFmt numFmtId="182" formatCode="[$GBP]\ * _(#,##0.00_);[Red][$GBP]\ * \(#,##0.00\);[$GBP]\ * _(&quot;-&quot;?_);@_)"/>
    <numFmt numFmtId="183" formatCode="mmm\ yy_)"/>
    <numFmt numFmtId="184" formatCode="yyyy_)"/>
    <numFmt numFmtId="185" formatCode="#,##0_);[Red]\-#,##0_);&quot;-&quot;?_);@_)"/>
    <numFmt numFmtId="186" formatCode="#,##0.00_);[Red]\-#,##0.00_);&quot;-&quot;?_);@_)"/>
    <numFmt numFmtId="187" formatCode="#,##0%;[Red]\-#,##0%;&quot;-&quot;\%;@_)"/>
    <numFmt numFmtId="188" formatCode="#,##0.00%;[Red]\-#,##0.00%;&quot;-&quot;\%;@_)"/>
    <numFmt numFmtId="189" formatCode="#,##0_);[Red]\-#,##0_);\-_);@_)"/>
    <numFmt numFmtId="190" formatCode="0.0"/>
    <numFmt numFmtId="191" formatCode="0.0%"/>
    <numFmt numFmtId="192" formatCode="#,##0.000"/>
    <numFmt numFmtId="193" formatCode="#,##0.0"/>
    <numFmt numFmtId="194" formatCode="#,##0_ ;[Red]\-#,##0\ "/>
    <numFmt numFmtId="195" formatCode="0.000%"/>
    <numFmt numFmtId="196" formatCode="_-* #,##0.00\ _€_-;\-* #,##0.00\ _€_-;_-* &quot;-&quot;??\ _€_-;_-@_-"/>
    <numFmt numFmtId="197" formatCode="_-* #,##0_-;\-* #,##0_-;_-* &quot;-&quot;??_-;_-@_-"/>
    <numFmt numFmtId="198" formatCode="#,##0.0%;[Red]\-#,##0.0%;0.0%;@_)"/>
    <numFmt numFmtId="199" formatCode="&quot;$&quot;#,##0.00"/>
    <numFmt numFmtId="200" formatCode="0.0000000000000000%"/>
    <numFmt numFmtId="201" formatCode="0.0000%"/>
  </numFmts>
  <fonts count="40" x14ac:knownFonts="1">
    <font>
      <sz val="9"/>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2"/>
      <name val="Arial"/>
      <family val="2"/>
    </font>
    <font>
      <sz val="9"/>
      <name val="Arial"/>
      <family val="2"/>
    </font>
    <font>
      <b/>
      <sz val="18"/>
      <name val="Arial"/>
      <family val="2"/>
    </font>
    <font>
      <b/>
      <sz val="14"/>
      <name val="Arial"/>
      <family val="2"/>
    </font>
    <font>
      <b/>
      <sz val="9"/>
      <name val="Arial"/>
      <family val="2"/>
    </font>
    <font>
      <b/>
      <sz val="22"/>
      <name val="Arial"/>
      <family val="2"/>
    </font>
    <font>
      <sz val="8"/>
      <name val="Arial"/>
      <family val="2"/>
    </font>
    <font>
      <i/>
      <sz val="9"/>
      <color indexed="55"/>
      <name val="Arial"/>
      <family val="2"/>
    </font>
    <font>
      <u/>
      <sz val="9"/>
      <name val="Arial"/>
      <family val="2"/>
    </font>
    <font>
      <u/>
      <sz val="8"/>
      <name val="Arial"/>
      <family val="2"/>
    </font>
    <font>
      <i/>
      <sz val="9"/>
      <name val="Arial"/>
      <family val="2"/>
    </font>
    <font>
      <i/>
      <sz val="9"/>
      <color rgb="FFC41230"/>
      <name val="Arial"/>
      <family val="2"/>
    </font>
    <font>
      <b/>
      <sz val="9"/>
      <color rgb="FFFFFFFF"/>
      <name val="Arial"/>
      <family val="2"/>
    </font>
    <font>
      <sz val="9"/>
      <color rgb="FFFFFFFF"/>
      <name val="Arial"/>
      <family val="2"/>
    </font>
    <font>
      <sz val="9"/>
      <color indexed="81"/>
      <name val="Tahoma"/>
      <family val="2"/>
    </font>
    <font>
      <b/>
      <sz val="9"/>
      <color indexed="81"/>
      <name val="Tahoma"/>
      <family val="2"/>
    </font>
    <font>
      <sz val="9"/>
      <color theme="1"/>
      <name val="Arial"/>
      <family val="2"/>
    </font>
    <font>
      <sz val="9"/>
      <color rgb="FFFF0000"/>
      <name val="Arial"/>
      <family val="2"/>
    </font>
    <font>
      <vertAlign val="superscript"/>
      <sz val="9"/>
      <name val="Arial"/>
      <family val="2"/>
    </font>
    <font>
      <i/>
      <sz val="11"/>
      <color rgb="FF7F7F7F"/>
      <name val="Arial"/>
      <family val="2"/>
      <scheme val="minor"/>
    </font>
    <font>
      <u/>
      <sz val="9"/>
      <color theme="10"/>
      <name val="Arial"/>
      <family val="2"/>
    </font>
    <font>
      <sz val="9"/>
      <color rgb="FF7F7F7F"/>
      <name val="Arial"/>
      <family val="2"/>
      <scheme val="minor"/>
    </font>
    <font>
      <b/>
      <sz val="9"/>
      <color rgb="FF7F7F7F"/>
      <name val="Arial"/>
      <family val="2"/>
      <scheme val="minor"/>
    </font>
    <font>
      <i/>
      <sz val="9"/>
      <color rgb="FF00A44A"/>
      <name val="Arial"/>
      <family val="2"/>
    </font>
    <font>
      <b/>
      <sz val="9"/>
      <color theme="0"/>
      <name val="Arial"/>
      <family val="2"/>
    </font>
    <font>
      <sz val="9"/>
      <color theme="0"/>
      <name val="Arial"/>
      <family val="2"/>
    </font>
    <font>
      <b/>
      <sz val="9"/>
      <color rgb="FF00B050"/>
      <name val="Arial"/>
      <family val="2"/>
    </font>
    <font>
      <sz val="7"/>
      <color rgb="FF000000"/>
      <name val="Segoe UI"/>
      <family val="2"/>
    </font>
    <font>
      <u/>
      <sz val="11"/>
      <color theme="10"/>
      <name val="Arial"/>
      <family val="2"/>
      <scheme val="minor"/>
    </font>
    <font>
      <b/>
      <sz val="10"/>
      <color theme="0"/>
      <name val="Arial"/>
      <family val="2"/>
      <scheme val="minor"/>
    </font>
    <font>
      <i/>
      <sz val="9"/>
      <color rgb="FF00B050"/>
      <name val="Arial"/>
      <family val="2"/>
    </font>
    <font>
      <i/>
      <sz val="9"/>
      <color theme="0" tint="-0.14999847407452621"/>
      <name val="Arial"/>
      <family val="2"/>
    </font>
    <font>
      <sz val="9"/>
      <color theme="0" tint="-4.9989318521683403E-2"/>
      <name val="Arial"/>
      <family val="2"/>
    </font>
    <font>
      <b/>
      <sz val="11"/>
      <name val="Arial"/>
      <family val="2"/>
    </font>
    <font>
      <b/>
      <sz val="12"/>
      <color theme="1"/>
      <name val="Arial"/>
      <family val="2"/>
    </font>
  </fonts>
  <fills count="29">
    <fill>
      <patternFill patternType="none"/>
    </fill>
    <fill>
      <patternFill patternType="gray125"/>
    </fill>
    <fill>
      <patternFill patternType="solid">
        <fgColor indexed="22"/>
        <bgColor indexed="64"/>
      </patternFill>
    </fill>
    <fill>
      <patternFill patternType="solid">
        <fgColor rgb="FFD0FFD0"/>
        <bgColor indexed="64"/>
      </patternFill>
    </fill>
    <fill>
      <patternFill patternType="solid">
        <fgColor rgb="FFB4FF3C"/>
        <bgColor indexed="64"/>
      </patternFill>
    </fill>
    <fill>
      <patternFill patternType="solid">
        <fgColor rgb="FFFFFF00"/>
        <bgColor indexed="64"/>
      </patternFill>
    </fill>
    <fill>
      <patternFill patternType="solid">
        <fgColor indexed="41"/>
        <bgColor indexed="64"/>
      </patternFill>
    </fill>
    <fill>
      <patternFill patternType="solid">
        <fgColor rgb="FF00B050"/>
        <bgColor rgb="FF221F72"/>
      </patternFill>
    </fill>
    <fill>
      <patternFill patternType="solid">
        <fgColor rgb="FF00B050"/>
        <bgColor indexed="64"/>
      </patternFill>
    </fill>
    <fill>
      <patternFill patternType="solid">
        <fgColor rgb="FFB0EEC5"/>
        <bgColor indexed="64"/>
      </patternFill>
    </fill>
    <fill>
      <patternFill patternType="solid">
        <fgColor rgb="FF004C52"/>
        <bgColor indexed="64"/>
      </patternFill>
    </fill>
    <fill>
      <patternFill patternType="solid">
        <fgColor theme="3" tint="0.89996032593768116"/>
        <bgColor indexed="64"/>
      </patternFill>
    </fill>
    <fill>
      <patternFill patternType="solid">
        <fgColor rgb="FFFFFF99"/>
        <bgColor indexed="15"/>
      </patternFill>
    </fill>
    <fill>
      <patternFill patternType="solid">
        <fgColor rgb="FFD1FFA3"/>
        <bgColor indexed="64"/>
      </patternFill>
    </fill>
    <fill>
      <patternFill patternType="solid">
        <fgColor rgb="FFCCFFFF"/>
        <bgColor rgb="FF000000"/>
      </patternFill>
    </fill>
    <fill>
      <patternFill patternType="solid">
        <fgColor rgb="FFFFFAB3"/>
        <bgColor indexed="15"/>
      </patternFill>
    </fill>
    <fill>
      <patternFill patternType="solid">
        <fgColor rgb="FF00FF00"/>
        <bgColor indexed="64"/>
      </patternFill>
    </fill>
    <fill>
      <patternFill patternType="solid">
        <fgColor rgb="FFFFE0A0"/>
        <bgColor indexed="64"/>
      </patternFill>
    </fill>
    <fill>
      <patternFill patternType="solid">
        <fgColor rgb="FF221F72"/>
        <bgColor indexed="64"/>
      </patternFill>
    </fill>
    <fill>
      <patternFill patternType="solid">
        <fgColor rgb="FFC4D0E9"/>
        <bgColor indexed="64"/>
      </patternFill>
    </fill>
    <fill>
      <patternFill patternType="solid">
        <fgColor rgb="FF221F72"/>
        <bgColor rgb="FF221F72"/>
      </patternFill>
    </fill>
    <fill>
      <patternFill patternType="solid">
        <fgColor theme="0"/>
        <bgColor indexed="64"/>
      </patternFill>
    </fill>
    <fill>
      <patternFill patternType="solid">
        <fgColor indexed="51"/>
        <bgColor indexed="64"/>
      </patternFill>
    </fill>
    <fill>
      <patternFill patternType="solid">
        <fgColor theme="0"/>
        <bgColor indexed="15"/>
      </patternFill>
    </fill>
    <fill>
      <patternFill patternType="solid">
        <fgColor theme="2"/>
        <bgColor indexed="64"/>
      </patternFill>
    </fill>
    <fill>
      <patternFill patternType="solid">
        <fgColor theme="0"/>
        <bgColor rgb="FF221F72"/>
      </patternFill>
    </fill>
    <fill>
      <patternFill patternType="solid">
        <fgColor theme="0" tint="-0.14999847407452621"/>
        <bgColor indexed="64"/>
      </patternFill>
    </fill>
    <fill>
      <patternFill patternType="solid">
        <fgColor theme="0" tint="-0.249977111117893"/>
        <bgColor indexed="64"/>
      </patternFill>
    </fill>
    <fill>
      <patternFill patternType="solid">
        <fgColor rgb="FFFF66CC"/>
        <bgColor indexed="64"/>
      </patternFill>
    </fill>
  </fills>
  <borders count="21">
    <border>
      <left/>
      <right/>
      <top/>
      <bottom/>
      <diagonal/>
    </border>
    <border>
      <left style="thin">
        <color rgb="FF0000FF"/>
      </left>
      <right style="thin">
        <color rgb="FF0000FF"/>
      </right>
      <top style="thin">
        <color rgb="FF0000FF"/>
      </top>
      <bottom style="thin">
        <color rgb="FF0000FF"/>
      </bottom>
      <diagonal/>
    </border>
    <border>
      <left style="thin">
        <color rgb="FF00C000"/>
      </left>
      <right style="thin">
        <color rgb="FF00C000"/>
      </right>
      <top style="thin">
        <color rgb="FF00C000"/>
      </top>
      <bottom style="thin">
        <color rgb="FF00C000"/>
      </bottom>
      <diagonal/>
    </border>
    <border>
      <left/>
      <right/>
      <top style="medium">
        <color rgb="FFC4D0E9"/>
      </top>
      <bottom style="medium">
        <color rgb="FFC4D0E9"/>
      </bottom>
      <diagonal/>
    </border>
    <border>
      <left style="thin">
        <color rgb="FF00C000"/>
      </left>
      <right/>
      <top style="thin">
        <color rgb="FF00C000"/>
      </top>
      <bottom style="thin">
        <color rgb="FF00C000"/>
      </bottom>
      <diagonal/>
    </border>
    <border>
      <left style="dotted">
        <color rgb="FF00C000"/>
      </left>
      <right style="dotted">
        <color rgb="FF00C000"/>
      </right>
      <top style="dotted">
        <color rgb="FF00C000"/>
      </top>
      <bottom style="dotted">
        <color rgb="FF00C000"/>
      </bottom>
      <diagonal/>
    </border>
    <border>
      <left style="thin">
        <color indexed="57"/>
      </left>
      <right style="thin">
        <color indexed="57"/>
      </right>
      <top style="thin">
        <color indexed="57"/>
      </top>
      <bottom style="thin">
        <color indexed="57"/>
      </bottom>
      <diagonal/>
    </border>
    <border>
      <left/>
      <right style="thin">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rgb="FFFF0000"/>
      </left>
      <right style="thin">
        <color rgb="FFFF0000"/>
      </right>
      <top style="thin">
        <color rgb="FFFF0000"/>
      </top>
      <bottom style="thin">
        <color rgb="FFFF0000"/>
      </bottom>
      <diagonal/>
    </border>
    <border>
      <left/>
      <right/>
      <top style="medium">
        <color rgb="FF33CC33"/>
      </top>
      <bottom/>
      <diagonal/>
    </border>
    <border>
      <left/>
      <right/>
      <top style="medium">
        <color rgb="FF33CC33"/>
      </top>
      <bottom style="medium">
        <color rgb="FF33CC33"/>
      </bottom>
      <diagonal/>
    </border>
    <border>
      <left style="dotted">
        <color theme="1"/>
      </left>
      <right style="dotted">
        <color theme="1"/>
      </right>
      <top style="dotted">
        <color theme="1"/>
      </top>
      <bottom style="dotted">
        <color theme="1"/>
      </bottom>
      <diagonal/>
    </border>
    <border>
      <left/>
      <right/>
      <top style="medium">
        <color rgb="FFC4D0E9"/>
      </top>
      <bottom/>
      <diagonal/>
    </border>
    <border>
      <left style="dotted">
        <color theme="1"/>
      </left>
      <right style="dotted">
        <color theme="1"/>
      </right>
      <top/>
      <bottom/>
      <diagonal/>
    </border>
    <border>
      <left/>
      <right/>
      <top style="dotted">
        <color theme="1"/>
      </top>
      <bottom style="dotted">
        <color theme="1"/>
      </bottom>
      <diagonal/>
    </border>
    <border>
      <left/>
      <right style="dotted">
        <color theme="1"/>
      </right>
      <top style="dotted">
        <color theme="1"/>
      </top>
      <bottom style="dotted">
        <color theme="1"/>
      </bottom>
      <diagonal/>
    </border>
    <border>
      <left style="dotted">
        <color theme="1"/>
      </left>
      <right style="dotted">
        <color theme="1"/>
      </right>
      <top/>
      <bottom style="dotted">
        <color theme="1"/>
      </bottom>
      <diagonal/>
    </border>
    <border>
      <left style="thin">
        <color rgb="FF0000FF"/>
      </left>
      <right/>
      <top/>
      <bottom/>
      <diagonal/>
    </border>
    <border>
      <left style="thin">
        <color theme="0"/>
      </left>
      <right style="thin">
        <color theme="0"/>
      </right>
      <top style="thin">
        <color theme="0"/>
      </top>
      <bottom style="thin">
        <color theme="0"/>
      </bottom>
      <diagonal/>
    </border>
  </borders>
  <cellStyleXfs count="96">
    <xf numFmtId="0" fontId="0" fillId="0" borderId="0">
      <alignment vertical="center"/>
    </xf>
    <xf numFmtId="0" fontId="6" fillId="0" borderId="0" applyNumberFormat="0" applyAlignment="0">
      <alignment vertical="center"/>
    </xf>
    <xf numFmtId="165" fontId="12" fillId="0" borderId="0" applyNumberFormat="0" applyAlignment="0">
      <alignment vertical="center"/>
    </xf>
    <xf numFmtId="0" fontId="17" fillId="7" borderId="0" applyNumberFormat="0">
      <alignment horizontal="center" vertical="top" wrapText="1"/>
    </xf>
    <xf numFmtId="0" fontId="17" fillId="8" borderId="0" applyNumberFormat="0">
      <alignment horizontal="left" vertical="top" wrapText="1"/>
    </xf>
    <xf numFmtId="0" fontId="17" fillId="8" borderId="0" applyNumberFormat="0">
      <alignment horizontal="centerContinuous" vertical="top"/>
    </xf>
    <xf numFmtId="0" fontId="18" fillId="8" borderId="0" applyNumberFormat="0">
      <alignment horizontal="center" vertical="top" wrapText="1"/>
    </xf>
    <xf numFmtId="169" fontId="6" fillId="0" borderId="0" applyFont="0" applyFill="0" applyBorder="0" applyAlignment="0" applyProtection="0">
      <alignment vertical="center"/>
    </xf>
    <xf numFmtId="169" fontId="6" fillId="0" borderId="0" applyFont="0" applyFill="0" applyBorder="0" applyAlignment="0" applyProtection="0">
      <alignment vertical="center"/>
    </xf>
    <xf numFmtId="170" fontId="6" fillId="0" borderId="0" applyFont="0" applyFill="0" applyBorder="0" applyAlignment="0" applyProtection="0">
      <alignment vertical="center"/>
    </xf>
    <xf numFmtId="175" fontId="6" fillId="0" borderId="0" applyFont="0" applyFill="0" applyBorder="0" applyAlignment="0" applyProtection="0">
      <alignment vertical="center"/>
    </xf>
    <xf numFmtId="176" fontId="6" fillId="0" borderId="0" applyFont="0" applyFill="0" applyBorder="0" applyAlignment="0" applyProtection="0">
      <alignment vertical="center"/>
    </xf>
    <xf numFmtId="173" fontId="6" fillId="0" borderId="0" applyFont="0" applyFill="0" applyBorder="0" applyAlignment="0" applyProtection="0">
      <alignment vertical="center"/>
    </xf>
    <xf numFmtId="174" fontId="6" fillId="0" borderId="0" applyFont="0" applyFill="0" applyBorder="0" applyAlignment="0" applyProtection="0">
      <alignment vertical="center"/>
    </xf>
    <xf numFmtId="171" fontId="6" fillId="0" borderId="0" applyFont="0" applyFill="0" applyBorder="0" applyAlignment="0" applyProtection="0">
      <alignment vertical="center"/>
    </xf>
    <xf numFmtId="172" fontId="6" fillId="0" borderId="0" applyFont="0" applyFill="0" applyBorder="0" applyAlignment="0" applyProtection="0">
      <alignment vertical="center"/>
    </xf>
    <xf numFmtId="181" fontId="6" fillId="0" borderId="0" applyFont="0" applyFill="0" applyBorder="0" applyAlignment="0" applyProtection="0">
      <alignment vertical="center"/>
    </xf>
    <xf numFmtId="182" fontId="6" fillId="0" borderId="0" applyFont="0" applyFill="0" applyBorder="0" applyAlignment="0" applyProtection="0">
      <alignment vertical="center"/>
    </xf>
    <xf numFmtId="179" fontId="6" fillId="0" borderId="0" applyFont="0" applyFill="0" applyBorder="0" applyAlignment="0" applyProtection="0">
      <alignment vertical="center"/>
    </xf>
    <xf numFmtId="180" fontId="6" fillId="0" borderId="0" applyFont="0" applyFill="0" applyBorder="0" applyAlignment="0" applyProtection="0">
      <alignment vertical="center"/>
    </xf>
    <xf numFmtId="177" fontId="6" fillId="0" borderId="0" applyFont="0" applyFill="0" applyBorder="0" applyAlignment="0" applyProtection="0">
      <alignment vertical="center"/>
    </xf>
    <xf numFmtId="178" fontId="6" fillId="0" borderId="0" applyFont="0" applyFill="0" applyBorder="0" applyAlignment="0" applyProtection="0">
      <alignment vertical="center"/>
    </xf>
    <xf numFmtId="168" fontId="6" fillId="0" borderId="0" applyFont="0" applyFill="0" applyBorder="0" applyAlignment="0" applyProtection="0">
      <alignment vertical="center"/>
    </xf>
    <xf numFmtId="183" fontId="6" fillId="0" borderId="0" applyFont="0" applyFill="0" applyBorder="0" applyAlignment="0" applyProtection="0">
      <alignment vertical="center"/>
    </xf>
    <xf numFmtId="184" fontId="6" fillId="0" borderId="0" applyFont="0" applyFill="0" applyBorder="0" applyAlignment="0" applyProtection="0">
      <alignment vertical="center"/>
    </xf>
    <xf numFmtId="0" fontId="8" fillId="0" borderId="0" applyNumberFormat="0" applyFill="0" applyBorder="0" applyAlignment="0" applyProtection="0">
      <alignment vertical="center"/>
    </xf>
    <xf numFmtId="0" fontId="5" fillId="0" borderId="0" applyNumberFormat="0" applyFill="0" applyBorder="0" applyAlignment="0" applyProtection="0">
      <alignment horizontal="left" vertical="center"/>
    </xf>
    <xf numFmtId="0" fontId="9" fillId="0" borderId="0" applyNumberFormat="0" applyFill="0" applyBorder="0" applyAlignment="0" applyProtection="0">
      <alignment vertical="center"/>
    </xf>
    <xf numFmtId="0" fontId="6" fillId="5" borderId="0" applyNumberFormat="0" applyFont="0" applyBorder="0" applyAlignment="0" applyProtection="0">
      <alignment vertical="center"/>
    </xf>
    <xf numFmtId="0" fontId="6" fillId="0" borderId="13" applyNumberFormat="0" applyFill="0" applyAlignment="0" applyProtection="0">
      <alignment vertical="center"/>
      <protection locked="0"/>
    </xf>
    <xf numFmtId="0" fontId="6" fillId="0" borderId="10" applyNumberFormat="0" applyAlignment="0">
      <alignment vertical="center"/>
      <protection locked="0"/>
    </xf>
    <xf numFmtId="164" fontId="21" fillId="12" borderId="13" applyNumberFormat="0" applyAlignment="0">
      <alignment vertical="center"/>
      <protection locked="0"/>
    </xf>
    <xf numFmtId="0" fontId="6" fillId="13" borderId="0" applyNumberFormat="0" applyAlignment="0">
      <alignment vertical="center"/>
    </xf>
    <xf numFmtId="0" fontId="29" fillId="10" borderId="0" applyNumberFormat="0" applyAlignment="0">
      <alignment vertical="center"/>
    </xf>
    <xf numFmtId="0" fontId="6" fillId="4" borderId="0" applyNumberFormat="0" applyAlignment="0">
      <alignment vertical="center"/>
    </xf>
    <xf numFmtId="0" fontId="6" fillId="0" borderId="1" applyNumberFormat="0" applyAlignment="0">
      <alignment vertical="center"/>
      <protection locked="0"/>
    </xf>
    <xf numFmtId="0" fontId="28" fillId="0" borderId="0" applyNumberFormat="0" applyAlignment="0">
      <alignment vertical="center"/>
    </xf>
    <xf numFmtId="0" fontId="11" fillId="0" borderId="0" applyNumberFormat="0" applyFill="0" applyBorder="0" applyAlignment="0" applyProtection="0">
      <alignment vertical="center"/>
    </xf>
    <xf numFmtId="185" fontId="6" fillId="0" borderId="0" applyFont="0" applyFill="0" applyBorder="0" applyAlignment="0" applyProtection="0">
      <alignment vertical="center"/>
    </xf>
    <xf numFmtId="186" fontId="6" fillId="0" borderId="0" applyFont="0" applyFill="0" applyBorder="0" applyAlignment="0" applyProtection="0">
      <alignment vertical="center"/>
    </xf>
    <xf numFmtId="0" fontId="9" fillId="11" borderId="0" applyNumberFormat="0" applyAlignment="0" applyProtection="0">
      <alignment vertical="center"/>
    </xf>
    <xf numFmtId="187" fontId="6" fillId="0" borderId="0" applyFont="0" applyFill="0" applyBorder="0" applyAlignment="0" applyProtection="0">
      <alignment horizontal="right" vertical="center"/>
    </xf>
    <xf numFmtId="188" fontId="6" fillId="0" borderId="0" applyFont="0" applyFill="0" applyBorder="0" applyAlignment="0" applyProtection="0">
      <alignment vertical="center"/>
    </xf>
    <xf numFmtId="0" fontId="9" fillId="0" borderId="0" applyNumberFormat="0" applyFill="0" applyBorder="0">
      <alignment horizontal="left" vertical="center" wrapText="1"/>
    </xf>
    <xf numFmtId="0" fontId="6" fillId="0" borderId="0" applyNumberFormat="0" applyFill="0" applyBorder="0">
      <alignment horizontal="left" vertical="center" wrapText="1" indent="1"/>
    </xf>
    <xf numFmtId="164" fontId="9" fillId="0" borderId="12" applyNumberFormat="0" applyFill="0" applyAlignment="0" applyProtection="0">
      <alignment vertical="center"/>
    </xf>
    <xf numFmtId="164" fontId="6" fillId="0" borderId="11" applyNumberFormat="0" applyFont="0" applyFill="0" applyAlignment="0" applyProtection="0">
      <alignment vertical="center"/>
    </xf>
    <xf numFmtId="0" fontId="6" fillId="2" borderId="0" applyNumberFormat="0" applyFont="0" applyBorder="0" applyAlignment="0" applyProtection="0">
      <alignment vertical="center"/>
    </xf>
    <xf numFmtId="0" fontId="6" fillId="0" borderId="0" applyNumberFormat="0" applyFont="0" applyFill="0" applyAlignment="0" applyProtection="0">
      <alignment vertical="center"/>
    </xf>
    <xf numFmtId="164" fontId="6" fillId="0" borderId="0" applyNumberFormat="0" applyFont="0" applyBorder="0" applyAlignment="0" applyProtection="0">
      <alignment vertical="center"/>
    </xf>
    <xf numFmtId="49" fontId="6" fillId="0" borderId="0" applyFont="0" applyFill="0" applyBorder="0" applyAlignment="0" applyProtection="0">
      <alignment horizontal="center" vertical="center"/>
    </xf>
    <xf numFmtId="164" fontId="9" fillId="0" borderId="0" applyNumberFormat="0" applyFill="0" applyBorder="0" applyAlignment="0" applyProtection="0">
      <alignment vertical="center"/>
    </xf>
    <xf numFmtId="164" fontId="9" fillId="9" borderId="0" applyNumberFormat="0" applyAlignment="0" applyProtection="0">
      <alignment vertical="center"/>
    </xf>
    <xf numFmtId="0" fontId="6" fillId="0" borderId="0" applyNumberFormat="0" applyFont="0" applyBorder="0" applyAlignment="0" applyProtection="0">
      <alignment vertical="center"/>
    </xf>
    <xf numFmtId="0" fontId="6" fillId="0" borderId="0" applyNumberFormat="0" applyFont="0" applyAlignment="0" applyProtection="0">
      <alignment vertical="center"/>
    </xf>
    <xf numFmtId="0" fontId="6" fillId="0" borderId="0">
      <alignment vertical="center"/>
    </xf>
    <xf numFmtId="0" fontId="10" fillId="0" borderId="0" applyFill="0" applyBorder="0" applyAlignment="0" applyProtection="0">
      <alignment vertical="center"/>
    </xf>
    <xf numFmtId="0" fontId="7" fillId="0" borderId="0" applyFill="0" applyBorder="0" applyAlignment="0" applyProtection="0">
      <alignment vertical="center"/>
    </xf>
    <xf numFmtId="0" fontId="10" fillId="6" borderId="0" applyNumberFormat="0">
      <alignment vertical="center"/>
    </xf>
    <xf numFmtId="43" fontId="6" fillId="0" borderId="0" applyFont="0" applyFill="0" applyBorder="0" applyAlignment="0" applyProtection="0"/>
    <xf numFmtId="0" fontId="6" fillId="0" borderId="10" applyNumberFormat="0" applyAlignment="0">
      <alignment vertical="center"/>
      <protection locked="0"/>
    </xf>
    <xf numFmtId="0" fontId="6" fillId="0" borderId="10" applyNumberFormat="0" applyAlignment="0">
      <alignment vertical="center"/>
      <protection locked="0"/>
    </xf>
    <xf numFmtId="0" fontId="24" fillId="0" borderId="0" applyNumberFormat="0" applyFill="0" applyBorder="0" applyAlignment="0" applyProtection="0"/>
    <xf numFmtId="0" fontId="25" fillId="0" borderId="0" applyNumberFormat="0" applyFill="0" applyBorder="0" applyAlignment="0" applyProtection="0">
      <alignment vertical="center"/>
    </xf>
    <xf numFmtId="0" fontId="6" fillId="0" borderId="10" applyNumberFormat="0" applyAlignment="0">
      <alignment vertical="center"/>
      <protection locked="0"/>
    </xf>
    <xf numFmtId="9" fontId="6" fillId="0" borderId="0" applyFont="0" applyFill="0" applyBorder="0" applyAlignment="0" applyProtection="0"/>
    <xf numFmtId="0" fontId="17" fillId="7" borderId="0" applyNumberFormat="0">
      <alignment horizontal="center" vertical="top" wrapText="1"/>
    </xf>
    <xf numFmtId="0" fontId="6" fillId="0" borderId="1" applyNumberFormat="0" applyAlignment="0">
      <alignment vertical="center"/>
      <protection locked="0"/>
    </xf>
    <xf numFmtId="0" fontId="4" fillId="0" borderId="0"/>
    <xf numFmtId="196" fontId="4" fillId="0" borderId="0" applyFont="0" applyFill="0" applyBorder="0" applyAlignment="0" applyProtection="0"/>
    <xf numFmtId="0" fontId="10" fillId="14" borderId="0" applyNumberFormat="0">
      <alignment vertical="center"/>
    </xf>
    <xf numFmtId="164" fontId="6" fillId="0" borderId="14" applyNumberFormat="0" applyFont="0" applyFill="0" applyAlignment="0" applyProtection="0">
      <alignment vertical="center"/>
    </xf>
    <xf numFmtId="0" fontId="17" fillId="20" borderId="0" applyNumberFormat="0">
      <alignment horizontal="center" vertical="top" wrapText="1"/>
    </xf>
    <xf numFmtId="0" fontId="17" fillId="18" borderId="0" applyNumberFormat="0">
      <alignment horizontal="left" vertical="top" wrapText="1"/>
    </xf>
    <xf numFmtId="0" fontId="17" fillId="18" borderId="0" applyNumberFormat="0">
      <alignment horizontal="centerContinuous" vertical="top"/>
    </xf>
    <xf numFmtId="0" fontId="18" fillId="18" borderId="0" applyNumberFormat="0">
      <alignment horizontal="center" vertical="top" wrapText="1"/>
    </xf>
    <xf numFmtId="0" fontId="6" fillId="0" borderId="5" applyNumberFormat="0" applyAlignment="0">
      <alignment vertical="center"/>
    </xf>
    <xf numFmtId="0" fontId="6" fillId="0" borderId="2" applyNumberFormat="0" applyAlignment="0">
      <alignment vertical="center"/>
      <protection locked="0"/>
    </xf>
    <xf numFmtId="164" fontId="6" fillId="15" borderId="2" applyNumberFormat="0" applyAlignment="0">
      <alignment vertical="center"/>
      <protection locked="0"/>
    </xf>
    <xf numFmtId="0" fontId="6" fillId="3" borderId="0" applyNumberFormat="0" applyAlignment="0">
      <alignment vertical="center"/>
    </xf>
    <xf numFmtId="0" fontId="6" fillId="16" borderId="0" applyNumberFormat="0" applyAlignment="0">
      <alignment vertical="center"/>
    </xf>
    <xf numFmtId="0" fontId="6" fillId="4" borderId="0" applyNumberFormat="0" applyAlignment="0">
      <alignment vertical="center"/>
    </xf>
    <xf numFmtId="0" fontId="16" fillId="0" borderId="0" applyNumberFormat="0" applyAlignment="0">
      <alignment vertical="center"/>
    </xf>
    <xf numFmtId="0" fontId="6" fillId="17" borderId="0" applyNumberFormat="0" applyFont="0" applyBorder="0" applyAlignment="0" applyProtection="0">
      <alignment vertical="center"/>
    </xf>
    <xf numFmtId="164" fontId="9" fillId="0" borderId="3" applyNumberFormat="0" applyFill="0" applyAlignment="0" applyProtection="0">
      <alignment vertical="center"/>
    </xf>
    <xf numFmtId="0" fontId="6" fillId="2" borderId="0" applyNumberFormat="0" applyFont="0" applyBorder="0" applyAlignment="0" applyProtection="0">
      <alignment vertical="center"/>
    </xf>
    <xf numFmtId="164" fontId="9" fillId="19" borderId="0" applyNumberFormat="0" applyAlignment="0" applyProtection="0">
      <alignment vertical="center"/>
    </xf>
    <xf numFmtId="0" fontId="6" fillId="22" borderId="0" applyNumberFormat="0" applyFont="0" applyBorder="0" applyAlignment="0" applyProtection="0">
      <alignment vertical="center"/>
    </xf>
    <xf numFmtId="0" fontId="6" fillId="0" borderId="6" applyNumberFormat="0" applyAlignment="0">
      <alignment vertical="center"/>
      <protection locked="0"/>
    </xf>
    <xf numFmtId="0" fontId="3" fillId="0" borderId="0"/>
    <xf numFmtId="196" fontId="3" fillId="0" borderId="0" applyFont="0" applyFill="0" applyBorder="0" applyAlignment="0" applyProtection="0"/>
    <xf numFmtId="0" fontId="33" fillId="0" borderId="0" applyNumberFormat="0" applyFill="0" applyBorder="0" applyAlignment="0" applyProtection="0"/>
    <xf numFmtId="0" fontId="10" fillId="6" borderId="0" applyNumberFormat="0">
      <alignment vertical="center"/>
    </xf>
    <xf numFmtId="0" fontId="34" fillId="24" borderId="0" applyNumberFormat="0" applyProtection="0">
      <alignment vertical="center"/>
    </xf>
    <xf numFmtId="43" fontId="2" fillId="0" borderId="0" applyFont="0" applyFill="0" applyBorder="0" applyAlignment="0" applyProtection="0"/>
    <xf numFmtId="0" fontId="1" fillId="0" borderId="0"/>
  </cellStyleXfs>
  <cellXfs count="275">
    <xf numFmtId="0" fontId="0" fillId="0" borderId="0" xfId="0">
      <alignment vertical="center"/>
    </xf>
    <xf numFmtId="0" fontId="17" fillId="7" borderId="0" xfId="3">
      <alignment horizontal="center" vertical="top" wrapText="1"/>
    </xf>
    <xf numFmtId="185" fontId="0" fillId="0" borderId="0" xfId="38" applyFont="1">
      <alignment vertical="center"/>
    </xf>
    <xf numFmtId="0" fontId="6" fillId="0" borderId="0" xfId="44">
      <alignment horizontal="left" vertical="center" wrapText="1" indent="1"/>
    </xf>
    <xf numFmtId="0" fontId="9" fillId="0" borderId="0" xfId="43">
      <alignment horizontal="left" vertical="center" wrapText="1"/>
    </xf>
    <xf numFmtId="0" fontId="9" fillId="9" borderId="0" xfId="52" applyNumberFormat="1" applyAlignment="1">
      <alignment horizontal="left" vertical="center" wrapText="1"/>
    </xf>
    <xf numFmtId="0" fontId="9" fillId="0" borderId="12" xfId="45" applyNumberFormat="1" applyAlignment="1">
      <alignment horizontal="left" vertical="center" wrapText="1" indent="1"/>
    </xf>
    <xf numFmtId="0" fontId="8" fillId="0" borderId="0" xfId="25">
      <alignment vertical="center"/>
    </xf>
    <xf numFmtId="164" fontId="6" fillId="0" borderId="1" xfId="35" applyNumberFormat="1">
      <alignment vertical="center"/>
      <protection locked="0"/>
    </xf>
    <xf numFmtId="164" fontId="6" fillId="0" borderId="13" xfId="29" applyNumberFormat="1">
      <alignment vertical="center"/>
      <protection locked="0"/>
    </xf>
    <xf numFmtId="164" fontId="6" fillId="0" borderId="10" xfId="30" applyNumberFormat="1">
      <alignment vertical="center"/>
      <protection locked="0"/>
    </xf>
    <xf numFmtId="164" fontId="6" fillId="13" borderId="0" xfId="32" applyNumberFormat="1">
      <alignment vertical="center"/>
    </xf>
    <xf numFmtId="164" fontId="6" fillId="0" borderId="0" xfId="1" applyNumberFormat="1">
      <alignment vertical="center"/>
    </xf>
    <xf numFmtId="164" fontId="9" fillId="11" borderId="0" xfId="40" applyNumberFormat="1">
      <alignment vertical="center"/>
    </xf>
    <xf numFmtId="164" fontId="6" fillId="5" borderId="0" xfId="28" applyNumberFormat="1">
      <alignment vertical="center"/>
    </xf>
    <xf numFmtId="186" fontId="0" fillId="0" borderId="0" xfId="39" applyFont="1">
      <alignment vertical="center"/>
    </xf>
    <xf numFmtId="169" fontId="0" fillId="0" borderId="0" xfId="7" applyFont="1">
      <alignment vertical="center"/>
    </xf>
    <xf numFmtId="170" fontId="0" fillId="0" borderId="0" xfId="9" applyFont="1">
      <alignment vertical="center"/>
    </xf>
    <xf numFmtId="171" fontId="0" fillId="0" borderId="0" xfId="14" applyFont="1">
      <alignment vertical="center"/>
    </xf>
    <xf numFmtId="172" fontId="0" fillId="0" borderId="0" xfId="15" applyFont="1">
      <alignment vertical="center"/>
    </xf>
    <xf numFmtId="173" fontId="0" fillId="0" borderId="0" xfId="12" applyFont="1">
      <alignment vertical="center"/>
    </xf>
    <xf numFmtId="174" fontId="0" fillId="0" borderId="0" xfId="13" applyFont="1">
      <alignment vertical="center"/>
    </xf>
    <xf numFmtId="168" fontId="0" fillId="0" borderId="0" xfId="22" applyFont="1">
      <alignment vertical="center"/>
    </xf>
    <xf numFmtId="0" fontId="11" fillId="0" borderId="0" xfId="37">
      <alignment vertical="center"/>
    </xf>
    <xf numFmtId="175" fontId="0" fillId="0" borderId="0" xfId="10" applyFont="1">
      <alignment vertical="center"/>
    </xf>
    <xf numFmtId="176" fontId="0" fillId="0" borderId="0" xfId="11" applyFont="1">
      <alignment vertical="center"/>
    </xf>
    <xf numFmtId="177" fontId="0" fillId="0" borderId="0" xfId="20" applyFont="1">
      <alignment vertical="center"/>
    </xf>
    <xf numFmtId="178" fontId="0" fillId="0" borderId="0" xfId="21" applyFont="1">
      <alignment vertical="center"/>
    </xf>
    <xf numFmtId="179" fontId="0" fillId="0" borderId="0" xfId="18" applyFont="1">
      <alignment vertical="center"/>
    </xf>
    <xf numFmtId="180" fontId="0" fillId="0" borderId="0" xfId="19" applyFont="1">
      <alignment vertical="center"/>
    </xf>
    <xf numFmtId="181" fontId="0" fillId="0" borderId="0" xfId="16" applyFont="1">
      <alignment vertical="center"/>
    </xf>
    <xf numFmtId="182" fontId="0" fillId="0" borderId="0" xfId="17" applyFont="1">
      <alignment vertical="center"/>
    </xf>
    <xf numFmtId="184" fontId="0" fillId="0" borderId="0" xfId="24" applyFont="1">
      <alignment vertical="center"/>
    </xf>
    <xf numFmtId="0" fontId="9" fillId="0" borderId="0" xfId="27">
      <alignment vertical="center"/>
    </xf>
    <xf numFmtId="0" fontId="5" fillId="0" borderId="0" xfId="26" applyAlignment="1">
      <alignment vertical="center"/>
    </xf>
    <xf numFmtId="0" fontId="9" fillId="0" borderId="12" xfId="45" applyNumberFormat="1">
      <alignment vertical="center"/>
    </xf>
    <xf numFmtId="0" fontId="9" fillId="9" borderId="0" xfId="52" applyNumberFormat="1">
      <alignment vertical="center"/>
    </xf>
    <xf numFmtId="0" fontId="0" fillId="2" borderId="0" xfId="47" applyFont="1">
      <alignment vertical="center"/>
    </xf>
    <xf numFmtId="0" fontId="0" fillId="0" borderId="11" xfId="46" applyNumberFormat="1" applyFont="1">
      <alignment vertical="center"/>
    </xf>
    <xf numFmtId="164" fontId="28" fillId="0" borderId="0" xfId="36" applyNumberFormat="1">
      <alignment vertical="center"/>
    </xf>
    <xf numFmtId="164" fontId="11" fillId="0" borderId="0" xfId="37" applyNumberFormat="1">
      <alignment vertical="center"/>
    </xf>
    <xf numFmtId="0" fontId="28" fillId="0" borderId="0" xfId="36">
      <alignment vertical="center"/>
    </xf>
    <xf numFmtId="0" fontId="0" fillId="5" borderId="0" xfId="28" applyFont="1">
      <alignment vertical="center"/>
    </xf>
    <xf numFmtId="164" fontId="0" fillId="2" borderId="0" xfId="47" applyNumberFormat="1" applyFont="1">
      <alignment vertical="center"/>
    </xf>
    <xf numFmtId="166" fontId="0" fillId="2" borderId="0" xfId="47" applyNumberFormat="1" applyFont="1">
      <alignment vertical="center"/>
    </xf>
    <xf numFmtId="166" fontId="0" fillId="0" borderId="0" xfId="49" applyNumberFormat="1" applyFont="1">
      <alignment vertical="center"/>
    </xf>
    <xf numFmtId="167" fontId="0" fillId="0" borderId="0" xfId="49" applyNumberFormat="1" applyFont="1">
      <alignment vertical="center"/>
    </xf>
    <xf numFmtId="0" fontId="0" fillId="0" borderId="0" xfId="53" applyFont="1">
      <alignment vertical="center"/>
    </xf>
    <xf numFmtId="164" fontId="6" fillId="0" borderId="0" xfId="53" applyNumberFormat="1">
      <alignment vertical="center"/>
    </xf>
    <xf numFmtId="0" fontId="0" fillId="0" borderId="0" xfId="49" applyNumberFormat="1" applyFont="1">
      <alignment vertical="center"/>
    </xf>
    <xf numFmtId="164" fontId="21" fillId="12" borderId="13" xfId="31">
      <alignment vertical="center"/>
      <protection locked="0"/>
    </xf>
    <xf numFmtId="164" fontId="9" fillId="9" borderId="0" xfId="52">
      <alignment vertical="center"/>
    </xf>
    <xf numFmtId="0" fontId="9" fillId="11" borderId="0" xfId="40" applyAlignment="1">
      <alignment horizontal="left" vertical="center" wrapText="1"/>
    </xf>
    <xf numFmtId="165" fontId="12" fillId="0" borderId="0" xfId="2">
      <alignment vertical="center"/>
    </xf>
    <xf numFmtId="0" fontId="17" fillId="8" borderId="0" xfId="4">
      <alignment horizontal="left" vertical="top" wrapText="1"/>
    </xf>
    <xf numFmtId="0" fontId="18" fillId="8" borderId="0" xfId="6">
      <alignment horizontal="center" vertical="top" wrapText="1"/>
    </xf>
    <xf numFmtId="164" fontId="29" fillId="10" borderId="0" xfId="33" applyNumberFormat="1">
      <alignment vertical="center"/>
    </xf>
    <xf numFmtId="164" fontId="9" fillId="0" borderId="0" xfId="51">
      <alignment vertical="center"/>
    </xf>
    <xf numFmtId="0" fontId="17" fillId="8" borderId="0" xfId="5">
      <alignment horizontal="centerContinuous" vertical="top"/>
    </xf>
    <xf numFmtId="183" fontId="0" fillId="0" borderId="0" xfId="23" applyFont="1">
      <alignment vertical="center"/>
    </xf>
    <xf numFmtId="0" fontId="9" fillId="11" borderId="0" xfId="40">
      <alignment vertical="center"/>
    </xf>
    <xf numFmtId="0" fontId="0" fillId="0" borderId="0" xfId="0" applyAlignment="1">
      <alignment horizontal="center" vertical="center"/>
    </xf>
    <xf numFmtId="0" fontId="6" fillId="4" borderId="0" xfId="34">
      <alignment vertical="center"/>
    </xf>
    <xf numFmtId="0" fontId="9" fillId="5" borderId="0" xfId="28" applyFont="1">
      <alignment vertical="center"/>
    </xf>
    <xf numFmtId="0" fontId="9" fillId="2" borderId="12" xfId="45" applyNumberFormat="1" applyFill="1">
      <alignment vertical="center"/>
    </xf>
    <xf numFmtId="0" fontId="10" fillId="0" borderId="0" xfId="56">
      <alignment vertical="center"/>
    </xf>
    <xf numFmtId="0" fontId="7" fillId="0" borderId="0" xfId="57">
      <alignment vertical="center"/>
    </xf>
    <xf numFmtId="0" fontId="10" fillId="0" borderId="0" xfId="56" applyFill="1" applyBorder="1">
      <alignment vertical="center"/>
    </xf>
    <xf numFmtId="187" fontId="0" fillId="0" borderId="0" xfId="41" applyFont="1" applyAlignment="1">
      <alignment vertical="center"/>
    </xf>
    <xf numFmtId="188" fontId="0" fillId="0" borderId="0" xfId="42" applyFont="1">
      <alignment vertical="center"/>
    </xf>
    <xf numFmtId="164" fontId="6" fillId="0" borderId="4" xfId="30" applyNumberFormat="1" applyBorder="1">
      <alignment vertical="center"/>
      <protection locked="0"/>
    </xf>
    <xf numFmtId="0" fontId="10" fillId="0" borderId="0" xfId="58" applyFill="1">
      <alignment vertical="center"/>
    </xf>
    <xf numFmtId="0" fontId="6" fillId="0" borderId="13" xfId="29">
      <alignment vertical="center"/>
      <protection locked="0"/>
    </xf>
    <xf numFmtId="0" fontId="6" fillId="0" borderId="1" xfId="35">
      <alignment vertical="center"/>
      <protection locked="0"/>
    </xf>
    <xf numFmtId="0" fontId="6" fillId="0" borderId="10" xfId="30">
      <alignment vertical="center"/>
      <protection locked="0"/>
    </xf>
    <xf numFmtId="0" fontId="6" fillId="0" borderId="13" xfId="29" applyAlignment="1">
      <alignment horizontal="center" vertical="center"/>
      <protection locked="0"/>
    </xf>
    <xf numFmtId="0" fontId="9" fillId="2" borderId="0" xfId="47" applyFont="1">
      <alignment vertical="center"/>
    </xf>
    <xf numFmtId="0" fontId="6" fillId="13" borderId="0" xfId="32">
      <alignment vertical="center"/>
    </xf>
    <xf numFmtId="0" fontId="9" fillId="0" borderId="0" xfId="0" applyFont="1">
      <alignment vertical="center"/>
    </xf>
    <xf numFmtId="0" fontId="0" fillId="0" borderId="0" xfId="0" applyAlignment="1">
      <alignment horizontal="left" vertical="center" indent="1"/>
    </xf>
    <xf numFmtId="167" fontId="6" fillId="0" borderId="13" xfId="29" applyNumberFormat="1">
      <alignment vertical="center"/>
      <protection locked="0"/>
    </xf>
    <xf numFmtId="167" fontId="9" fillId="0" borderId="0" xfId="0" applyNumberFormat="1" applyFont="1">
      <alignment vertical="center"/>
    </xf>
    <xf numFmtId="0" fontId="9" fillId="0" borderId="11" xfId="46" applyNumberFormat="1" applyFont="1">
      <alignment vertical="center"/>
    </xf>
    <xf numFmtId="37" fontId="6" fillId="0" borderId="13" xfId="29" applyNumberFormat="1">
      <alignment vertical="center"/>
      <protection locked="0"/>
    </xf>
    <xf numFmtId="37" fontId="0" fillId="2" borderId="0" xfId="47" applyNumberFormat="1" applyFont="1">
      <alignment vertical="center"/>
    </xf>
    <xf numFmtId="169" fontId="9" fillId="0" borderId="0" xfId="0" applyNumberFormat="1" applyFont="1">
      <alignment vertical="center"/>
    </xf>
    <xf numFmtId="0" fontId="0" fillId="0" borderId="13" xfId="29" applyFont="1" applyAlignment="1">
      <alignment horizontal="center" vertical="center"/>
      <protection locked="0"/>
    </xf>
    <xf numFmtId="10" fontId="0" fillId="0" borderId="0" xfId="0" applyNumberFormat="1">
      <alignment vertical="center"/>
    </xf>
    <xf numFmtId="37" fontId="6" fillId="13" borderId="0" xfId="32" applyNumberFormat="1">
      <alignment vertical="center"/>
    </xf>
    <xf numFmtId="38" fontId="29" fillId="10" borderId="0" xfId="33" applyNumberFormat="1">
      <alignment vertical="center"/>
    </xf>
    <xf numFmtId="0" fontId="15" fillId="0" borderId="0" xfId="0" applyFont="1">
      <alignment vertical="center"/>
    </xf>
    <xf numFmtId="188" fontId="6" fillId="2" borderId="0" xfId="47" applyNumberFormat="1">
      <alignment vertical="center"/>
    </xf>
    <xf numFmtId="3" fontId="6" fillId="0" borderId="13" xfId="29" applyNumberFormat="1">
      <alignment vertical="center"/>
      <protection locked="0"/>
    </xf>
    <xf numFmtId="0" fontId="0" fillId="0" borderId="0" xfId="0" applyAlignment="1">
      <alignment horizontal="left" vertical="center" indent="2"/>
    </xf>
    <xf numFmtId="0" fontId="0" fillId="0" borderId="0" xfId="0" applyAlignment="1">
      <alignment horizontal="left" vertical="center" indent="3"/>
    </xf>
    <xf numFmtId="0" fontId="25" fillId="0" borderId="0" xfId="63">
      <alignment vertical="center"/>
    </xf>
    <xf numFmtId="4" fontId="6" fillId="0" borderId="13" xfId="29" applyNumberFormat="1" applyAlignment="1">
      <alignment horizontal="center" vertical="center"/>
      <protection locked="0"/>
    </xf>
    <xf numFmtId="37" fontId="9" fillId="11" borderId="0" xfId="40" applyNumberFormat="1">
      <alignment vertical="center"/>
    </xf>
    <xf numFmtId="0" fontId="26" fillId="0" borderId="0" xfId="62" applyFont="1" applyAlignment="1">
      <alignment vertical="center"/>
    </xf>
    <xf numFmtId="167" fontId="27" fillId="0" borderId="0" xfId="62" applyNumberFormat="1" applyFont="1" applyAlignment="1">
      <alignment vertical="center"/>
    </xf>
    <xf numFmtId="0" fontId="17" fillId="7" borderId="7" xfId="3" applyBorder="1">
      <alignment horizontal="center" vertical="top" wrapText="1"/>
    </xf>
    <xf numFmtId="189" fontId="6" fillId="0" borderId="10" xfId="64" applyNumberFormat="1">
      <alignment vertical="center"/>
      <protection locked="0"/>
    </xf>
    <xf numFmtId="0" fontId="28" fillId="0" borderId="0" xfId="36" applyAlignment="1">
      <alignment horizontal="left" vertical="center"/>
    </xf>
    <xf numFmtId="0" fontId="9" fillId="2" borderId="0" xfId="47" applyFont="1" applyAlignment="1">
      <alignment horizontal="center" vertical="center"/>
    </xf>
    <xf numFmtId="2" fontId="6" fillId="0" borderId="13" xfId="29" applyNumberFormat="1" applyAlignment="1">
      <alignment horizontal="center" vertical="center"/>
      <protection locked="0"/>
    </xf>
    <xf numFmtId="190" fontId="0" fillId="0" borderId="13" xfId="29" applyNumberFormat="1" applyFont="1" applyAlignment="1">
      <alignment horizontal="center" vertical="center"/>
      <protection locked="0"/>
    </xf>
    <xf numFmtId="39" fontId="9" fillId="11" borderId="0" xfId="40" applyNumberFormat="1">
      <alignment vertical="center"/>
    </xf>
    <xf numFmtId="10" fontId="6" fillId="0" borderId="13" xfId="29" applyNumberFormat="1" applyAlignment="1">
      <alignment horizontal="center" vertical="center"/>
      <protection locked="0"/>
    </xf>
    <xf numFmtId="193" fontId="6" fillId="0" borderId="13" xfId="29" applyNumberFormat="1" applyAlignment="1">
      <alignment horizontal="center" vertical="center"/>
      <protection locked="0"/>
    </xf>
    <xf numFmtId="192" fontId="6" fillId="0" borderId="13" xfId="29" applyNumberFormat="1" applyAlignment="1">
      <alignment horizontal="center" vertical="center"/>
      <protection locked="0"/>
    </xf>
    <xf numFmtId="0" fontId="17" fillId="8" borderId="0" xfId="5" applyAlignment="1">
      <alignment horizontal="centerContinuous" vertical="top" wrapText="1"/>
    </xf>
    <xf numFmtId="0" fontId="17" fillId="8" borderId="0" xfId="4" applyAlignment="1">
      <alignment horizontal="center" vertical="top" wrapText="1"/>
    </xf>
    <xf numFmtId="0" fontId="9" fillId="9" borderId="0" xfId="52" applyNumberFormat="1" applyAlignment="1">
      <alignment horizontal="center" vertical="top" wrapText="1"/>
    </xf>
    <xf numFmtId="2" fontId="9" fillId="11" borderId="0" xfId="40" applyNumberFormat="1">
      <alignment vertical="center"/>
    </xf>
    <xf numFmtId="3" fontId="0" fillId="0" borderId="0" xfId="0" applyNumberFormat="1">
      <alignment vertical="center"/>
    </xf>
    <xf numFmtId="10" fontId="6" fillId="0" borderId="5" xfId="65" applyNumberFormat="1" applyBorder="1" applyAlignment="1">
      <alignment vertical="center"/>
    </xf>
    <xf numFmtId="2" fontId="21" fillId="12" borderId="13" xfId="31" applyNumberFormat="1" applyAlignment="1">
      <alignment horizontal="center" vertical="center"/>
      <protection locked="0"/>
    </xf>
    <xf numFmtId="9" fontId="6" fillId="3" borderId="0" xfId="65" applyFill="1" applyAlignment="1">
      <alignment vertical="center"/>
    </xf>
    <xf numFmtId="3" fontId="21" fillId="12" borderId="13" xfId="31" applyNumberFormat="1">
      <alignment vertical="center"/>
      <protection locked="0"/>
    </xf>
    <xf numFmtId="3" fontId="6" fillId="13" borderId="0" xfId="32" applyNumberFormat="1">
      <alignment vertical="center"/>
    </xf>
    <xf numFmtId="194" fontId="6" fillId="0" borderId="13" xfId="29" applyNumberFormat="1">
      <alignment vertical="center"/>
      <protection locked="0"/>
    </xf>
    <xf numFmtId="0" fontId="0" fillId="0" borderId="13" xfId="29" applyFont="1">
      <alignment vertical="center"/>
      <protection locked="0"/>
    </xf>
    <xf numFmtId="1" fontId="6" fillId="13" borderId="0" xfId="32" applyNumberFormat="1">
      <alignment vertical="center"/>
    </xf>
    <xf numFmtId="3" fontId="9" fillId="11" borderId="0" xfId="40" applyNumberFormat="1">
      <alignment vertical="center"/>
    </xf>
    <xf numFmtId="3" fontId="6" fillId="11" borderId="0" xfId="40" applyNumberFormat="1" applyFont="1">
      <alignment vertical="center"/>
    </xf>
    <xf numFmtId="10" fontId="6" fillId="0" borderId="13" xfId="29" applyNumberFormat="1" applyAlignment="1">
      <alignment vertical="center"/>
      <protection locked="0"/>
    </xf>
    <xf numFmtId="2" fontId="0" fillId="0" borderId="0" xfId="0" applyNumberFormat="1">
      <alignment vertical="center"/>
    </xf>
    <xf numFmtId="39" fontId="0" fillId="0" borderId="0" xfId="0" applyNumberFormat="1">
      <alignment vertical="center"/>
    </xf>
    <xf numFmtId="4" fontId="6" fillId="13" borderId="0" xfId="32" applyNumberFormat="1">
      <alignment vertical="center"/>
    </xf>
    <xf numFmtId="4" fontId="0" fillId="0" borderId="0" xfId="0" applyNumberFormat="1">
      <alignment vertical="center"/>
    </xf>
    <xf numFmtId="10" fontId="0" fillId="0" borderId="0" xfId="65" applyNumberFormat="1" applyFont="1" applyAlignment="1">
      <alignment vertical="center"/>
    </xf>
    <xf numFmtId="9" fontId="0" fillId="0" borderId="0" xfId="65" applyFont="1" applyAlignment="1">
      <alignment vertical="center"/>
    </xf>
    <xf numFmtId="0" fontId="28" fillId="0" borderId="11" xfId="46" applyNumberFormat="1" applyFont="1">
      <alignment vertical="center"/>
    </xf>
    <xf numFmtId="9" fontId="6" fillId="13" borderId="0" xfId="32" applyNumberFormat="1" applyAlignment="1">
      <alignment vertical="center"/>
    </xf>
    <xf numFmtId="191" fontId="6" fillId="13" borderId="0" xfId="32" applyNumberFormat="1" applyAlignment="1">
      <alignment vertical="center"/>
    </xf>
    <xf numFmtId="15" fontId="6" fillId="0" borderId="0" xfId="27" applyNumberFormat="1" applyFont="1" applyAlignment="1">
      <alignment horizontal="left" vertical="center" indent="1"/>
    </xf>
    <xf numFmtId="10" fontId="6" fillId="0" borderId="10" xfId="65" applyNumberFormat="1" applyBorder="1" applyAlignment="1" applyProtection="1">
      <alignment vertical="center"/>
      <protection locked="0"/>
    </xf>
    <xf numFmtId="0" fontId="22" fillId="0" borderId="0" xfId="0" applyFont="1">
      <alignment vertical="center"/>
    </xf>
    <xf numFmtId="0" fontId="6" fillId="0" borderId="1" xfId="35" applyAlignment="1">
      <alignment horizontal="center" vertical="center"/>
      <protection locked="0"/>
    </xf>
    <xf numFmtId="10" fontId="29" fillId="10" borderId="0" xfId="65" applyNumberFormat="1" applyFont="1" applyFill="1" applyAlignment="1">
      <alignment vertical="center"/>
    </xf>
    <xf numFmtId="0" fontId="15" fillId="0" borderId="2" xfId="77" applyFont="1">
      <alignment vertical="center"/>
      <protection locked="0"/>
    </xf>
    <xf numFmtId="195" fontId="0" fillId="0" borderId="0" xfId="65" applyNumberFormat="1" applyFont="1" applyAlignment="1">
      <alignment vertical="center"/>
    </xf>
    <xf numFmtId="0" fontId="0" fillId="21" borderId="0" xfId="0" applyFill="1">
      <alignment vertical="center"/>
    </xf>
    <xf numFmtId="0" fontId="9" fillId="21" borderId="0" xfId="0" applyFont="1" applyFill="1">
      <alignment vertical="center"/>
    </xf>
    <xf numFmtId="0" fontId="6" fillId="0" borderId="13" xfId="29" applyProtection="1">
      <alignment vertical="center"/>
    </xf>
    <xf numFmtId="192" fontId="6" fillId="0" borderId="13" xfId="29" applyNumberFormat="1" applyFill="1" applyAlignment="1">
      <alignment horizontal="center" vertical="center"/>
      <protection locked="0"/>
    </xf>
    <xf numFmtId="10" fontId="6" fillId="0" borderId="13" xfId="29" applyNumberFormat="1" applyFill="1" applyAlignment="1">
      <alignment horizontal="center" vertical="center"/>
      <protection locked="0"/>
    </xf>
    <xf numFmtId="0" fontId="0" fillId="0" borderId="0" xfId="46" applyNumberFormat="1" applyFont="1" applyBorder="1">
      <alignment vertical="center"/>
    </xf>
    <xf numFmtId="10" fontId="6" fillId="13" borderId="0" xfId="32" applyNumberFormat="1" applyAlignment="1">
      <alignment vertical="center"/>
    </xf>
    <xf numFmtId="167" fontId="0" fillId="0" borderId="13" xfId="29" applyNumberFormat="1" applyFont="1">
      <alignment vertical="center"/>
      <protection locked="0"/>
    </xf>
    <xf numFmtId="37" fontId="0" fillId="0" borderId="13" xfId="29" applyNumberFormat="1" applyFont="1">
      <alignment vertical="center"/>
      <protection locked="0"/>
    </xf>
    <xf numFmtId="0" fontId="0" fillId="0" borderId="0" xfId="0" applyAlignment="1">
      <alignment horizontal="left" vertical="center"/>
    </xf>
    <xf numFmtId="1" fontId="6" fillId="0" borderId="1" xfId="35" applyNumberFormat="1" applyAlignment="1">
      <alignment horizontal="center" vertical="center" wrapText="1"/>
      <protection locked="0"/>
    </xf>
    <xf numFmtId="10" fontId="32" fillId="0" borderId="0" xfId="65" applyNumberFormat="1" applyFont="1" applyAlignment="1">
      <alignment vertical="center"/>
    </xf>
    <xf numFmtId="192" fontId="0" fillId="0" borderId="0" xfId="0" applyNumberFormat="1">
      <alignment vertical="center"/>
    </xf>
    <xf numFmtId="0" fontId="6" fillId="21" borderId="0" xfId="29" applyFill="1" applyBorder="1" applyProtection="1">
      <alignment vertical="center"/>
    </xf>
    <xf numFmtId="3" fontId="6" fillId="21" borderId="0" xfId="29" applyNumberFormat="1" applyFill="1" applyBorder="1">
      <alignment vertical="center"/>
      <protection locked="0"/>
    </xf>
    <xf numFmtId="3" fontId="0" fillId="21" borderId="0" xfId="29" applyNumberFormat="1" applyFont="1" applyFill="1" applyBorder="1">
      <alignment vertical="center"/>
      <protection locked="0"/>
    </xf>
    <xf numFmtId="0" fontId="9" fillId="25" borderId="0" xfId="3" applyFont="1" applyFill="1">
      <alignment horizontal="center" vertical="top" wrapText="1"/>
    </xf>
    <xf numFmtId="0" fontId="6" fillId="21" borderId="0" xfId="47" applyFont="1" applyFill="1" applyBorder="1">
      <alignment vertical="center"/>
    </xf>
    <xf numFmtId="2" fontId="6" fillId="23" borderId="0" xfId="31" applyNumberFormat="1" applyFont="1" applyFill="1" applyBorder="1">
      <alignment vertical="center"/>
      <protection locked="0"/>
    </xf>
    <xf numFmtId="197" fontId="21" fillId="12" borderId="13" xfId="31" applyNumberFormat="1">
      <alignment vertical="center"/>
      <protection locked="0"/>
    </xf>
    <xf numFmtId="0" fontId="10" fillId="0" borderId="0" xfId="58" applyFill="1" applyAlignment="1">
      <alignment horizontal="center" vertical="center"/>
    </xf>
    <xf numFmtId="198" fontId="9" fillId="0" borderId="0" xfId="0" applyNumberFormat="1" applyFont="1">
      <alignment vertical="center"/>
    </xf>
    <xf numFmtId="0" fontId="17" fillId="7" borderId="0" xfId="3" applyAlignment="1">
      <alignment horizontal="left" vertical="top"/>
    </xf>
    <xf numFmtId="0" fontId="35" fillId="0" borderId="11" xfId="46" applyNumberFormat="1" applyFont="1">
      <alignment vertical="center"/>
    </xf>
    <xf numFmtId="1" fontId="30" fillId="0" borderId="0" xfId="59" applyNumberFormat="1" applyFont="1" applyAlignment="1">
      <alignment vertical="center"/>
    </xf>
    <xf numFmtId="1" fontId="0" fillId="0" borderId="0" xfId="0" applyNumberFormat="1">
      <alignment vertical="center"/>
    </xf>
    <xf numFmtId="2" fontId="0" fillId="0" borderId="13" xfId="29" applyNumberFormat="1" applyFont="1" applyFill="1" applyAlignment="1">
      <alignment horizontal="center" vertical="center"/>
      <protection locked="0"/>
    </xf>
    <xf numFmtId="0" fontId="17" fillId="20" borderId="0" xfId="72" applyAlignment="1">
      <alignment horizontal="center" vertical="center" wrapText="1"/>
    </xf>
    <xf numFmtId="2" fontId="0" fillId="0" borderId="0" xfId="29" applyNumberFormat="1" applyFont="1" applyBorder="1">
      <alignment vertical="center"/>
      <protection locked="0"/>
    </xf>
    <xf numFmtId="197" fontId="6" fillId="0" borderId="0" xfId="59" applyNumberFormat="1" applyBorder="1" applyAlignment="1" applyProtection="1">
      <alignment vertical="center"/>
      <protection locked="0"/>
    </xf>
    <xf numFmtId="0" fontId="31" fillId="7" borderId="0" xfId="3" applyFont="1">
      <alignment horizontal="center" vertical="top" wrapText="1"/>
    </xf>
    <xf numFmtId="0" fontId="36" fillId="0" borderId="0" xfId="0" applyFont="1">
      <alignment vertical="center"/>
    </xf>
    <xf numFmtId="1" fontId="6" fillId="0" borderId="10" xfId="30" applyNumberFormat="1" applyAlignment="1">
      <alignment horizontal="center" vertical="center" wrapText="1"/>
      <protection locked="0"/>
    </xf>
    <xf numFmtId="10" fontId="6" fillId="0" borderId="10" xfId="30" applyNumberFormat="1">
      <alignment vertical="center"/>
      <protection locked="0"/>
    </xf>
    <xf numFmtId="167" fontId="6" fillId="21" borderId="10" xfId="30" applyNumberFormat="1" applyFill="1">
      <alignment vertical="center"/>
      <protection locked="0"/>
    </xf>
    <xf numFmtId="199" fontId="28" fillId="0" borderId="0" xfId="65" applyNumberFormat="1" applyFont="1" applyFill="1" applyBorder="1" applyAlignment="1">
      <alignment vertical="center"/>
    </xf>
    <xf numFmtId="0" fontId="6" fillId="0" borderId="0" xfId="0" applyFont="1">
      <alignment vertical="center"/>
    </xf>
    <xf numFmtId="0" fontId="28" fillId="0" borderId="0" xfId="36" applyAlignment="1">
      <alignment horizontal="right" vertical="center"/>
    </xf>
    <xf numFmtId="1" fontId="30" fillId="0" borderId="0" xfId="35" applyNumberFormat="1" applyFont="1" applyBorder="1" applyAlignment="1">
      <alignment horizontal="center" vertical="center" wrapText="1"/>
      <protection locked="0"/>
    </xf>
    <xf numFmtId="2" fontId="6" fillId="0" borderId="0" xfId="29" applyNumberFormat="1" applyFill="1" applyBorder="1" applyAlignment="1">
      <alignment horizontal="center" vertical="center"/>
      <protection locked="0"/>
    </xf>
    <xf numFmtId="0" fontId="0" fillId="0" borderId="0" xfId="0" applyAlignment="1">
      <alignment vertical="top"/>
    </xf>
    <xf numFmtId="0" fontId="0" fillId="21" borderId="0" xfId="80" applyFont="1" applyFill="1" applyAlignment="1">
      <alignment vertical="center" wrapText="1"/>
    </xf>
    <xf numFmtId="0" fontId="6" fillId="21" borderId="0" xfId="80" applyFill="1" applyAlignment="1">
      <alignment vertical="center" wrapText="1"/>
    </xf>
    <xf numFmtId="3" fontId="0" fillId="21" borderId="0" xfId="0" applyNumberFormat="1" applyFill="1">
      <alignment vertical="center"/>
    </xf>
    <xf numFmtId="10" fontId="0" fillId="21" borderId="0" xfId="65" applyNumberFormat="1" applyFont="1" applyFill="1" applyAlignment="1">
      <alignment vertical="center"/>
    </xf>
    <xf numFmtId="0" fontId="28" fillId="21" borderId="0" xfId="36" applyFill="1">
      <alignment vertical="center"/>
    </xf>
    <xf numFmtId="0" fontId="0" fillId="0" borderId="0" xfId="0" applyAlignment="1">
      <alignment horizontal="center" vertical="center" wrapText="1"/>
    </xf>
    <xf numFmtId="9" fontId="6" fillId="0" borderId="13" xfId="65" applyBorder="1" applyAlignment="1" applyProtection="1">
      <alignment vertical="center"/>
    </xf>
    <xf numFmtId="10" fontId="6" fillId="0" borderId="13" xfId="65" applyNumberFormat="1" applyBorder="1" applyAlignment="1" applyProtection="1">
      <alignment vertical="center"/>
    </xf>
    <xf numFmtId="10" fontId="6" fillId="0" borderId="13" xfId="65" applyNumberFormat="1" applyBorder="1" applyAlignment="1" applyProtection="1">
      <alignment horizontal="center" vertical="center"/>
    </xf>
    <xf numFmtId="1" fontId="6" fillId="0" borderId="13" xfId="65" applyNumberFormat="1" applyBorder="1" applyAlignment="1" applyProtection="1">
      <alignment horizontal="center" vertical="center"/>
    </xf>
    <xf numFmtId="199" fontId="6" fillId="0" borderId="13" xfId="29" applyNumberFormat="1">
      <alignment vertical="center"/>
      <protection locked="0"/>
    </xf>
    <xf numFmtId="3" fontId="6" fillId="5" borderId="2" xfId="77" applyNumberFormat="1" applyFill="1">
      <alignment vertical="center"/>
      <protection locked="0"/>
    </xf>
    <xf numFmtId="1" fontId="6" fillId="21" borderId="13" xfId="29" applyNumberFormat="1" applyFill="1" applyAlignment="1">
      <alignment horizontal="center" vertical="center"/>
      <protection locked="0"/>
    </xf>
    <xf numFmtId="0" fontId="17" fillId="21" borderId="0" xfId="4" applyFill="1" applyAlignment="1">
      <alignment horizontal="center" vertical="center" wrapText="1"/>
    </xf>
    <xf numFmtId="0" fontId="17" fillId="25" borderId="0" xfId="3" applyFill="1" applyAlignment="1">
      <alignment horizontal="center" vertical="center" wrapText="1"/>
    </xf>
    <xf numFmtId="2" fontId="21" fillId="23" borderId="0" xfId="31" applyNumberFormat="1" applyFill="1" applyBorder="1">
      <alignment vertical="center"/>
      <protection locked="0"/>
    </xf>
    <xf numFmtId="2" fontId="21" fillId="23" borderId="0" xfId="31" applyNumberFormat="1" applyFill="1" applyBorder="1" applyAlignment="1">
      <alignment horizontal="right" vertical="center"/>
      <protection locked="0"/>
    </xf>
    <xf numFmtId="0" fontId="17" fillId="25" borderId="0" xfId="3" applyFill="1">
      <alignment horizontal="center" vertical="top" wrapText="1"/>
    </xf>
    <xf numFmtId="1" fontId="6" fillId="21" borderId="0" xfId="30" applyNumberFormat="1" applyFill="1" applyBorder="1" applyAlignment="1">
      <alignment horizontal="center" vertical="center"/>
      <protection locked="0"/>
    </xf>
    <xf numFmtId="0" fontId="17" fillId="21" borderId="0" xfId="4" applyFill="1" applyAlignment="1">
      <alignment horizontal="center" vertical="top" wrapText="1"/>
    </xf>
    <xf numFmtId="194" fontId="0" fillId="0" borderId="0" xfId="0" applyNumberFormat="1">
      <alignment vertical="center"/>
    </xf>
    <xf numFmtId="191" fontId="6" fillId="0" borderId="0" xfId="30" applyNumberFormat="1" applyBorder="1">
      <alignment vertical="center"/>
      <protection locked="0"/>
    </xf>
    <xf numFmtId="10" fontId="9" fillId="0" borderId="0" xfId="46" applyNumberFormat="1" applyFont="1" applyBorder="1">
      <alignment vertical="center"/>
    </xf>
    <xf numFmtId="1" fontId="6" fillId="0" borderId="13" xfId="29" applyNumberFormat="1">
      <alignment vertical="center"/>
      <protection locked="0"/>
    </xf>
    <xf numFmtId="10" fontId="6" fillId="0" borderId="0" xfId="65" applyNumberFormat="1" applyBorder="1" applyAlignment="1" applyProtection="1">
      <alignment vertical="center"/>
      <protection locked="0"/>
    </xf>
    <xf numFmtId="10" fontId="9" fillId="11" borderId="0" xfId="40" applyNumberFormat="1" applyAlignment="1">
      <alignment vertical="center"/>
    </xf>
    <xf numFmtId="0" fontId="0" fillId="26" borderId="0" xfId="0" applyFill="1" applyAlignment="1">
      <alignment horizontal="center" vertical="center"/>
    </xf>
    <xf numFmtId="1" fontId="6" fillId="0" borderId="13" xfId="29" applyNumberFormat="1" applyAlignment="1">
      <alignment horizontal="center" vertical="center"/>
      <protection locked="0"/>
    </xf>
    <xf numFmtId="200" fontId="0" fillId="0" borderId="0" xfId="0" applyNumberFormat="1">
      <alignment vertical="center"/>
    </xf>
    <xf numFmtId="0" fontId="17" fillId="8" borderId="8" xfId="5" applyBorder="1" applyAlignment="1">
      <alignment horizontal="center" vertical="top"/>
    </xf>
    <xf numFmtId="2" fontId="6" fillId="0" borderId="13" xfId="29" applyNumberFormat="1">
      <alignment vertical="center"/>
      <protection locked="0"/>
    </xf>
    <xf numFmtId="0" fontId="37" fillId="0" borderId="0" xfId="0" applyFont="1">
      <alignment vertical="center"/>
    </xf>
    <xf numFmtId="199" fontId="6" fillId="0" borderId="1" xfId="35" applyNumberFormat="1">
      <alignment vertical="center"/>
      <protection locked="0"/>
    </xf>
    <xf numFmtId="170" fontId="6" fillId="0" borderId="1" xfId="35" applyNumberFormat="1">
      <alignment vertical="center"/>
      <protection locked="0"/>
    </xf>
    <xf numFmtId="1" fontId="6" fillId="0" borderId="1" xfId="35" applyNumberFormat="1" applyAlignment="1">
      <protection locked="0"/>
    </xf>
    <xf numFmtId="1" fontId="6" fillId="0" borderId="1" xfId="35" applyNumberFormat="1" applyProtection="1">
      <alignment vertical="center"/>
    </xf>
    <xf numFmtId="0" fontId="0" fillId="27" borderId="0" xfId="0" applyFill="1">
      <alignment vertical="center"/>
    </xf>
    <xf numFmtId="0" fontId="38" fillId="27" borderId="0" xfId="0" applyFont="1" applyFill="1">
      <alignment vertical="center"/>
    </xf>
    <xf numFmtId="190" fontId="0" fillId="0" borderId="17" xfId="29" applyNumberFormat="1" applyFont="1" applyBorder="1" applyAlignment="1">
      <alignment horizontal="center" vertical="center"/>
      <protection locked="0"/>
    </xf>
    <xf numFmtId="199" fontId="6" fillId="0" borderId="16" xfId="29" applyNumberFormat="1" applyBorder="1">
      <alignment vertical="center"/>
      <protection locked="0"/>
    </xf>
    <xf numFmtId="1" fontId="6" fillId="0" borderId="16" xfId="29" applyNumberFormat="1" applyBorder="1">
      <alignment vertical="center"/>
      <protection locked="0"/>
    </xf>
    <xf numFmtId="2" fontId="0" fillId="21" borderId="0" xfId="0" applyNumberFormat="1" applyFill="1">
      <alignment vertical="center"/>
    </xf>
    <xf numFmtId="0" fontId="0" fillId="21" borderId="0" xfId="0" applyFill="1" applyAlignment="1">
      <alignment horizontal="left" vertical="center" indent="1"/>
    </xf>
    <xf numFmtId="0" fontId="0" fillId="21" borderId="0" xfId="0" applyFill="1" applyAlignment="1">
      <alignment horizontal="center" vertical="center"/>
    </xf>
    <xf numFmtId="167" fontId="6" fillId="21" borderId="13" xfId="29" applyNumberFormat="1" applyFill="1">
      <alignment vertical="center"/>
      <protection locked="0"/>
    </xf>
    <xf numFmtId="167" fontId="9" fillId="11" borderId="0" xfId="40" applyNumberFormat="1">
      <alignment vertical="center"/>
    </xf>
    <xf numFmtId="0" fontId="0" fillId="21" borderId="0" xfId="0" applyFill="1" applyAlignment="1">
      <alignment horizontal="left" vertical="top" indent="1"/>
    </xf>
    <xf numFmtId="1" fontId="6" fillId="23" borderId="13" xfId="29" applyNumberFormat="1" applyFill="1">
      <alignment vertical="center"/>
      <protection locked="0"/>
    </xf>
    <xf numFmtId="0" fontId="9" fillId="26" borderId="0" xfId="47" applyFont="1" applyFill="1">
      <alignment vertical="center"/>
    </xf>
    <xf numFmtId="0" fontId="0" fillId="26" borderId="0" xfId="47" applyFont="1" applyFill="1">
      <alignment vertical="center"/>
    </xf>
    <xf numFmtId="0" fontId="0" fillId="26" borderId="0" xfId="0" applyFill="1">
      <alignment vertical="center"/>
    </xf>
    <xf numFmtId="0" fontId="6" fillId="26" borderId="0" xfId="47" applyFont="1" applyFill="1" applyAlignment="1">
      <alignment horizontal="center" vertical="center"/>
    </xf>
    <xf numFmtId="0" fontId="9" fillId="26" borderId="0" xfId="0" applyFont="1" applyFill="1">
      <alignment vertical="center"/>
    </xf>
    <xf numFmtId="1" fontId="6" fillId="0" borderId="13" xfId="29" applyNumberFormat="1" applyAlignment="1" applyProtection="1">
      <alignment horizontal="center" vertical="center"/>
    </xf>
    <xf numFmtId="0" fontId="17" fillId="21" borderId="9" xfId="5" applyFill="1" applyBorder="1">
      <alignment horizontal="centerContinuous" vertical="top"/>
    </xf>
    <xf numFmtId="3" fontId="6" fillId="21" borderId="13" xfId="29" applyNumberFormat="1" applyFill="1" applyProtection="1">
      <alignment vertical="center"/>
    </xf>
    <xf numFmtId="192" fontId="6" fillId="0" borderId="18" xfId="29" applyNumberFormat="1" applyBorder="1" applyAlignment="1">
      <alignment horizontal="center" vertical="center"/>
      <protection locked="0"/>
    </xf>
    <xf numFmtId="192" fontId="6" fillId="0" borderId="15" xfId="29" applyNumberFormat="1" applyBorder="1" applyAlignment="1">
      <alignment horizontal="center" vertical="center"/>
      <protection locked="0"/>
    </xf>
    <xf numFmtId="1" fontId="6" fillId="0" borderId="10" xfId="30" applyNumberFormat="1">
      <alignment vertical="center"/>
      <protection locked="0"/>
    </xf>
    <xf numFmtId="0" fontId="21" fillId="12" borderId="13" xfId="31" applyNumberFormat="1" applyAlignment="1">
      <alignment horizontal="center" vertical="center"/>
      <protection locked="0"/>
    </xf>
    <xf numFmtId="43" fontId="6" fillId="0" borderId="13" xfId="59" applyBorder="1" applyAlignment="1" applyProtection="1">
      <alignment horizontal="center" vertical="center"/>
      <protection locked="0"/>
    </xf>
    <xf numFmtId="43" fontId="9" fillId="11" borderId="0" xfId="59" applyFont="1" applyFill="1" applyAlignment="1" applyProtection="1">
      <alignment horizontal="center" vertical="center"/>
      <protection locked="0"/>
    </xf>
    <xf numFmtId="0" fontId="17" fillId="8" borderId="19" xfId="5" applyBorder="1">
      <alignment horizontal="centerContinuous" vertical="top"/>
    </xf>
    <xf numFmtId="0" fontId="17" fillId="7" borderId="20" xfId="3" applyBorder="1">
      <alignment horizontal="center" vertical="top" wrapText="1"/>
    </xf>
    <xf numFmtId="2" fontId="0" fillId="13" borderId="0" xfId="32" applyNumberFormat="1" applyFont="1">
      <alignment vertical="center"/>
    </xf>
    <xf numFmtId="43" fontId="6" fillId="0" borderId="0" xfId="59" applyBorder="1" applyAlignment="1" applyProtection="1">
      <alignment horizontal="center" vertical="center"/>
      <protection locked="0"/>
    </xf>
    <xf numFmtId="1" fontId="0" fillId="13" borderId="0" xfId="32" applyNumberFormat="1" applyFont="1">
      <alignment vertical="center"/>
    </xf>
    <xf numFmtId="10" fontId="6" fillId="0" borderId="5" xfId="65" applyNumberFormat="1" applyFill="1" applyBorder="1" applyAlignment="1">
      <alignment vertical="center"/>
    </xf>
    <xf numFmtId="197" fontId="6" fillId="0" borderId="5" xfId="59" applyNumberFormat="1" applyFill="1" applyBorder="1" applyAlignment="1">
      <alignment vertical="center"/>
    </xf>
    <xf numFmtId="0" fontId="17" fillId="20" borderId="0" xfId="72" applyNumberFormat="1" applyAlignment="1">
      <alignment horizontal="center" vertical="center" wrapText="1"/>
    </xf>
    <xf numFmtId="191" fontId="6" fillId="0" borderId="5" xfId="65" applyNumberFormat="1" applyFill="1" applyBorder="1" applyAlignment="1">
      <alignment vertical="center"/>
    </xf>
    <xf numFmtId="10" fontId="5" fillId="0" borderId="13" xfId="29" applyNumberFormat="1" applyFont="1" applyFill="1" applyAlignment="1" applyProtection="1">
      <alignment vertical="center"/>
    </xf>
    <xf numFmtId="10" fontId="5" fillId="11" borderId="0" xfId="40" applyNumberFormat="1" applyFont="1" applyAlignment="1">
      <alignment vertical="center"/>
    </xf>
    <xf numFmtId="10" fontId="6" fillId="28" borderId="10" xfId="30" applyNumberFormat="1" applyFill="1">
      <alignment vertical="center"/>
      <protection locked="0"/>
    </xf>
    <xf numFmtId="3" fontId="6" fillId="28" borderId="10" xfId="60" applyNumberFormat="1" applyFill="1">
      <alignment vertical="center"/>
      <protection locked="0"/>
    </xf>
    <xf numFmtId="1" fontId="6" fillId="28" borderId="10" xfId="30" applyNumberFormat="1" applyFill="1">
      <alignment vertical="center"/>
      <protection locked="0"/>
    </xf>
    <xf numFmtId="3" fontId="21" fillId="28" borderId="13" xfId="31" applyNumberFormat="1" applyFill="1">
      <alignment vertical="center"/>
      <protection locked="0"/>
    </xf>
    <xf numFmtId="4" fontId="21" fillId="28" borderId="13" xfId="31" applyNumberFormat="1" applyFill="1">
      <alignment vertical="center"/>
      <protection locked="0"/>
    </xf>
    <xf numFmtId="2" fontId="21" fillId="28" borderId="13" xfId="31" applyNumberFormat="1" applyFill="1">
      <alignment vertical="center"/>
      <protection locked="0"/>
    </xf>
    <xf numFmtId="10" fontId="21" fillId="28" borderId="13" xfId="31" applyNumberFormat="1" applyFill="1">
      <alignment vertical="center"/>
      <protection locked="0"/>
    </xf>
    <xf numFmtId="3" fontId="6" fillId="28" borderId="10" xfId="65" applyNumberFormat="1" applyFill="1" applyBorder="1" applyAlignment="1" applyProtection="1">
      <alignment vertical="center"/>
      <protection locked="0"/>
    </xf>
    <xf numFmtId="0" fontId="6" fillId="28" borderId="1" xfId="35" applyFill="1">
      <alignment vertical="center"/>
      <protection locked="0"/>
    </xf>
    <xf numFmtId="10" fontId="6" fillId="28" borderId="1" xfId="35" applyNumberFormat="1" applyFill="1" applyAlignment="1">
      <protection locked="0"/>
    </xf>
    <xf numFmtId="0" fontId="29" fillId="10" borderId="0" xfId="33" applyAlignment="1">
      <alignment horizontal="center" vertical="top" wrapText="1"/>
    </xf>
    <xf numFmtId="201" fontId="39" fillId="12" borderId="13" xfId="65" applyNumberFormat="1" applyFont="1" applyFill="1" applyBorder="1" applyAlignment="1" applyProtection="1">
      <alignment horizontal="center" vertical="center"/>
      <protection locked="0"/>
    </xf>
    <xf numFmtId="0" fontId="0" fillId="21" borderId="0" xfId="0" applyFill="1" applyAlignment="1">
      <alignment horizontal="center" vertical="center" wrapText="1"/>
    </xf>
    <xf numFmtId="0" fontId="0" fillId="21" borderId="0" xfId="0" applyFill="1" applyAlignment="1">
      <alignment horizontal="left" vertical="top" wrapText="1"/>
    </xf>
    <xf numFmtId="0" fontId="0" fillId="21" borderId="0" xfId="0" applyFill="1" applyAlignment="1">
      <alignment horizontal="left" vertical="center" wrapText="1"/>
    </xf>
    <xf numFmtId="0" fontId="0" fillId="21" borderId="0" xfId="80" applyFont="1" applyFill="1" applyAlignment="1">
      <alignment horizontal="left" vertical="center" wrapText="1"/>
    </xf>
    <xf numFmtId="0" fontId="6" fillId="21" borderId="0" xfId="80" applyFill="1" applyAlignment="1">
      <alignment horizontal="left" vertical="center" wrapText="1"/>
    </xf>
    <xf numFmtId="0" fontId="9" fillId="21" borderId="0" xfId="52" applyNumberFormat="1" applyFill="1" applyAlignment="1">
      <alignment horizontal="center" vertical="top" wrapText="1"/>
    </xf>
    <xf numFmtId="0" fontId="9" fillId="9" borderId="0" xfId="52" applyNumberFormat="1" applyAlignment="1">
      <alignment horizontal="center" vertical="center" wrapText="1"/>
    </xf>
  </cellXfs>
  <cellStyles count="96">
    <cellStyle name="Cálculo" xfId="1" builtinId="22" customBuiltin="1"/>
    <cellStyle name="Checksum" xfId="2" xr:uid="{00000000-0005-0000-0000-000001000000}"/>
    <cellStyle name="Column label" xfId="72" xr:uid="{00000000-0005-0000-0000-000002000000}"/>
    <cellStyle name="Column label (left aligned)" xfId="73" xr:uid="{00000000-0005-0000-0000-000003000000}"/>
    <cellStyle name="Column label (no wrap)" xfId="74" xr:uid="{00000000-0005-0000-0000-000004000000}"/>
    <cellStyle name="Column label (not bold)" xfId="75" xr:uid="{00000000-0005-0000-0000-000005000000}"/>
    <cellStyle name="Columna" xfId="3" xr:uid="{00000000-0005-0000-0000-000006000000}"/>
    <cellStyle name="Columna (izquierda)" xfId="4" xr:uid="{00000000-0005-0000-0000-000007000000}"/>
    <cellStyle name="Columna (sin negritas)" xfId="6" xr:uid="{00000000-0005-0000-0000-000008000000}"/>
    <cellStyle name="Columna 0" xfId="66" xr:uid="{00000000-0005-0000-0000-000009000000}"/>
    <cellStyle name="Columna 2" xfId="5" xr:uid="{00000000-0005-0000-0000-00000A000000}"/>
    <cellStyle name="Currency (0dp)" xfId="8" xr:uid="{00000000-0005-0000-0000-00000B000000}"/>
    <cellStyle name="Currency (2dp)" xfId="9" xr:uid="{00000000-0005-0000-0000-00000C000000}"/>
    <cellStyle name="Currency Dollar" xfId="10" xr:uid="{00000000-0005-0000-0000-00000D000000}"/>
    <cellStyle name="Currency Dollar (2dp)" xfId="11" xr:uid="{00000000-0005-0000-0000-00000E000000}"/>
    <cellStyle name="Currency EUR" xfId="12" xr:uid="{00000000-0005-0000-0000-00000F000000}"/>
    <cellStyle name="Currency EUR (2dp)" xfId="13" xr:uid="{00000000-0005-0000-0000-000010000000}"/>
    <cellStyle name="Currency Euro" xfId="14" xr:uid="{00000000-0005-0000-0000-000011000000}"/>
    <cellStyle name="Currency Euro (2dp)" xfId="15" xr:uid="{00000000-0005-0000-0000-000012000000}"/>
    <cellStyle name="Currency GBP" xfId="16" xr:uid="{00000000-0005-0000-0000-000013000000}"/>
    <cellStyle name="Currency GBP (2dp)" xfId="17" xr:uid="{00000000-0005-0000-0000-000014000000}"/>
    <cellStyle name="Currency Pound" xfId="18" xr:uid="{00000000-0005-0000-0000-000015000000}"/>
    <cellStyle name="Currency Pound (2dp)" xfId="19" xr:uid="{00000000-0005-0000-0000-000016000000}"/>
    <cellStyle name="Currency USD" xfId="20" xr:uid="{00000000-0005-0000-0000-000017000000}"/>
    <cellStyle name="Currency USD (2dp)" xfId="21" xr:uid="{00000000-0005-0000-0000-000018000000}"/>
    <cellStyle name="Date" xfId="22" xr:uid="{00000000-0005-0000-0000-000019000000}"/>
    <cellStyle name="Date (Month)" xfId="23" xr:uid="{00000000-0005-0000-0000-00001A000000}"/>
    <cellStyle name="Date (Year)" xfId="24" xr:uid="{00000000-0005-0000-0000-00001B000000}"/>
    <cellStyle name="Dato Calculo" xfId="29" xr:uid="{00000000-0005-0000-0000-00001C000000}"/>
    <cellStyle name="Dato de entrada" xfId="35" xr:uid="{00000000-0005-0000-0000-00001D000000}"/>
    <cellStyle name="Dato Entrada" xfId="30" xr:uid="{00000000-0005-0000-0000-00001E000000}"/>
    <cellStyle name="Dato entrada 2" xfId="60" xr:uid="{00000000-0005-0000-0000-00001F000000}"/>
    <cellStyle name="Dato entrada 2 2" xfId="61" xr:uid="{00000000-0005-0000-0000-000020000000}"/>
    <cellStyle name="Dato Entrada 2 3" xfId="64" xr:uid="{00000000-0005-0000-0000-000021000000}"/>
    <cellStyle name="Datos de otra hoja" xfId="32" xr:uid="{00000000-0005-0000-0000-000022000000}"/>
    <cellStyle name="Datos de otro libro" xfId="34" xr:uid="{00000000-0005-0000-0000-000023000000}"/>
    <cellStyle name="Datos estimados" xfId="31" xr:uid="{00000000-0005-0000-0000-000024000000}"/>
    <cellStyle name="Datos Externos" xfId="33" xr:uid="{00000000-0005-0000-0000-000025000000}"/>
    <cellStyle name="H0" xfId="56" xr:uid="{00000000-0005-0000-0000-000027000000}"/>
    <cellStyle name="H0 2" xfId="58" xr:uid="{00000000-0005-0000-0000-000028000000}"/>
    <cellStyle name="H0 3" xfId="70" xr:uid="{00000000-0005-0000-0000-000029000000}"/>
    <cellStyle name="H0 3 2" xfId="92" xr:uid="{00000000-0005-0000-0000-00002A000000}"/>
    <cellStyle name="H1" xfId="57" xr:uid="{00000000-0005-0000-0000-00002B000000}"/>
    <cellStyle name="H2" xfId="25" xr:uid="{00000000-0005-0000-0000-00002C000000}"/>
    <cellStyle name="H3" xfId="26" xr:uid="{00000000-0005-0000-0000-00002D000000}"/>
    <cellStyle name="H4" xfId="27" xr:uid="{00000000-0005-0000-0000-00002E000000}"/>
    <cellStyle name="Highlight" xfId="28" xr:uid="{00000000-0005-0000-0000-00002F000000}"/>
    <cellStyle name="Hipervínculo" xfId="63" builtinId="8"/>
    <cellStyle name="Hipervínculo 2" xfId="91" xr:uid="{00000000-0005-0000-0000-000031000000}"/>
    <cellStyle name="Input calculation" xfId="76" xr:uid="{00000000-0005-0000-0000-000032000000}"/>
    <cellStyle name="Input data" xfId="77" xr:uid="{00000000-0005-0000-0000-000033000000}"/>
    <cellStyle name="Input data 2" xfId="88" xr:uid="{00000000-0005-0000-0000-000034000000}"/>
    <cellStyle name="Input estimate" xfId="78" xr:uid="{00000000-0005-0000-0000-000035000000}"/>
    <cellStyle name="Input link" xfId="79" xr:uid="{00000000-0005-0000-0000-000036000000}"/>
    <cellStyle name="Input link (different workbook)" xfId="80" xr:uid="{00000000-0005-0000-0000-000037000000}"/>
    <cellStyle name="Input Link (different Worksheet)" xfId="81" xr:uid="{00000000-0005-0000-0000-000038000000}"/>
    <cellStyle name="Input parameter" xfId="67" xr:uid="{00000000-0005-0000-0000-000039000000}"/>
    <cellStyle name="Millares" xfId="59" builtinId="3"/>
    <cellStyle name="Millares 2" xfId="69" xr:uid="{00000000-0005-0000-0000-00003B000000}"/>
    <cellStyle name="Millares 3" xfId="90" xr:uid="{00000000-0005-0000-0000-00003C000000}"/>
    <cellStyle name="Milliers 3" xfId="94" xr:uid="{3558647D-A2C4-4661-83F5-A691F7043D65}"/>
    <cellStyle name="Moneda" xfId="7" builtinId="4"/>
    <cellStyle name="Name" xfId="82" xr:uid="{00000000-0005-0000-0000-00003E000000}"/>
    <cellStyle name="Nombre" xfId="36" xr:uid="{00000000-0005-0000-0000-00003F000000}"/>
    <cellStyle name="Normal" xfId="0" builtinId="0"/>
    <cellStyle name="Normal 2" xfId="55" xr:uid="{00000000-0005-0000-0000-000041000000}"/>
    <cellStyle name="Normal 3" xfId="68" xr:uid="{00000000-0005-0000-0000-000042000000}"/>
    <cellStyle name="Normal 4" xfId="89" xr:uid="{00000000-0005-0000-0000-000043000000}"/>
    <cellStyle name="Normal 5" xfId="95" xr:uid="{4CADC4D0-FD8E-4ED2-BF15-8162A1D92B79}"/>
    <cellStyle name="Notas" xfId="37" builtinId="10" customBuiltin="1"/>
    <cellStyle name="Number" xfId="38" xr:uid="{00000000-0005-0000-0000-000045000000}"/>
    <cellStyle name="Number (2dp)" xfId="39" xr:uid="{00000000-0005-0000-0000-000046000000}"/>
    <cellStyle name="Output 2" xfId="87" xr:uid="{00000000-0005-0000-0000-000047000000}"/>
    <cellStyle name="Percentage" xfId="41" xr:uid="{00000000-0005-0000-0000-000048000000}"/>
    <cellStyle name="Percentage (2dp)" xfId="42" xr:uid="{00000000-0005-0000-0000-000049000000}"/>
    <cellStyle name="Porcentaje" xfId="65" builtinId="5"/>
    <cellStyle name="Row label" xfId="43" xr:uid="{00000000-0005-0000-0000-00004B000000}"/>
    <cellStyle name="Row label (indent)" xfId="44" xr:uid="{00000000-0005-0000-0000-00004C000000}"/>
    <cellStyle name="Salida" xfId="40" builtinId="21" customBuiltin="1"/>
    <cellStyle name="Salida 2" xfId="83" xr:uid="{00000000-0005-0000-0000-00004E000000}"/>
    <cellStyle name="Sub-total renglon" xfId="45" xr:uid="{00000000-0005-0000-0000-00004F000000}"/>
    <cellStyle name="Sub-total row" xfId="84" xr:uid="{00000000-0005-0000-0000-000050000000}"/>
    <cellStyle name="Tabla renglon final" xfId="46" xr:uid="{00000000-0005-0000-0000-000051000000}"/>
    <cellStyle name="Tabla sombreado" xfId="47" xr:uid="{00000000-0005-0000-0000-000052000000}"/>
    <cellStyle name="Table finish row" xfId="71" xr:uid="{00000000-0005-0000-0000-000053000000}"/>
    <cellStyle name="Table shading" xfId="85" xr:uid="{00000000-0005-0000-0000-000054000000}"/>
    <cellStyle name="Table unfinish row" xfId="48" xr:uid="{00000000-0005-0000-0000-000055000000}"/>
    <cellStyle name="Table unshading" xfId="49" xr:uid="{00000000-0005-0000-0000-000056000000}"/>
    <cellStyle name="TERA_TableTitle" xfId="93" xr:uid="{00000000-0005-0000-0000-000057000000}"/>
    <cellStyle name="Text" xfId="50" xr:uid="{00000000-0005-0000-0000-000058000000}"/>
    <cellStyle name="Texto explicativo" xfId="62" builtinId="53"/>
    <cellStyle name="Total" xfId="51" builtinId="25" customBuiltin="1"/>
    <cellStyle name="Total renglon" xfId="52" xr:uid="{00000000-0005-0000-0000-00005B000000}"/>
    <cellStyle name="Total row" xfId="86" xr:uid="{00000000-0005-0000-0000-00005C000000}"/>
    <cellStyle name="Unhighlight" xfId="53" xr:uid="{00000000-0005-0000-0000-00005D000000}"/>
    <cellStyle name="Untotal row" xfId="54" xr:uid="{00000000-0005-0000-0000-00005E000000}"/>
  </cellStyles>
  <dxfs count="3">
    <dxf>
      <font>
        <b/>
        <i/>
        <color rgb="FFFFFF00"/>
      </font>
      <fill>
        <patternFill>
          <bgColor rgb="FFC4123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2"/>
      <tableStyleElement type="headerRow" dxfId="1"/>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8080"/>
      <rgbColor rgb="00BFDCF9"/>
      <rgbColor rgb="00C00000"/>
      <rgbColor rgb="00008000"/>
      <rgbColor rgb="000000C0"/>
      <rgbColor rgb="00808000"/>
      <rgbColor rgb="00FF00FF"/>
      <rgbColor rgb="000060C0"/>
      <rgbColor rgb="00E0E0E0"/>
      <rgbColor rgb="00A0A0A0"/>
      <rgbColor rgb="00DDB9D8"/>
      <rgbColor rgb="00CDDCEF"/>
      <rgbColor rgb="00A6BEDA"/>
      <rgbColor rgb="00F6DCC2"/>
      <rgbColor rgb="00EFC2C1"/>
      <rgbColor rgb="00DBD7DB"/>
      <rgbColor rgb="00C2CAAA"/>
      <rgbColor rgb="00F5EEB9"/>
      <rgbColor rgb="00A670A1"/>
      <rgbColor rgb="0099CEFF"/>
      <rgbColor rgb="0000679A"/>
      <rgbColor rgb="00ECB088"/>
      <rgbColor rgb="00ED7F7F"/>
      <rgbColor rgb="00A79FAF"/>
      <rgbColor rgb="0049BB3D"/>
      <rgbColor rgb="00E3DE15"/>
      <rgbColor rgb="00C0C0FF"/>
      <rgbColor rgb="00CCECFF"/>
      <rgbColor rgb="00D0FFD0"/>
      <rgbColor rgb="00FFFFA0"/>
      <rgbColor rgb="00E0E0FF"/>
      <rgbColor rgb="00FFC0C0"/>
      <rgbColor rgb="00FFC0FF"/>
      <rgbColor rgb="00FFF1C9"/>
      <rgbColor rgb="008080FF"/>
      <rgbColor rgb="000080FF"/>
      <rgbColor rgb="00C0C000"/>
      <rgbColor rgb="00FFE0A0"/>
      <rgbColor rgb="00FF8000"/>
      <rgbColor rgb="00C06000"/>
      <rgbColor rgb="00C000C0"/>
      <rgbColor rgb="00C0C0C0"/>
      <rgbColor rgb="00003A47"/>
      <rgbColor rgb="0000C000"/>
      <rgbColor rgb="00006000"/>
      <rgbColor rgb="00606000"/>
      <rgbColor rgb="00804000"/>
      <rgbColor rgb="00FF80FF"/>
      <rgbColor rgb="00800080"/>
      <rgbColor rgb="00808080"/>
    </indexedColors>
    <mruColors>
      <color rgb="FFABE33F"/>
      <color rgb="FFFFFF99"/>
      <color rgb="FFFF66FF"/>
      <color rgb="FFB6FF6D"/>
      <color rgb="FF090141"/>
      <color rgb="FFD1FFA3"/>
      <color rgb="FFFFD9D9"/>
      <color rgb="FFFF9999"/>
      <color rgb="FFCCFF99"/>
      <color rgb="FF3C78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onnections" Target="connections.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47" Type="http://schemas.openxmlformats.org/officeDocument/2006/relationships/customXml" Target="../customXml/item2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sheetMetadata" Target="metadata.xml"/><Relationship Id="rId29"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45" Type="http://schemas.openxmlformats.org/officeDocument/2006/relationships/customXml" Target="../customXml/item27.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10" Type="http://schemas.openxmlformats.org/officeDocument/2006/relationships/worksheet" Target="worksheets/sheet10.xml"/><Relationship Id="rId19" Type="http://schemas.openxmlformats.org/officeDocument/2006/relationships/customXml" Target="../customXml/item1.xml"/><Relationship Id="rId31" Type="http://schemas.openxmlformats.org/officeDocument/2006/relationships/customXml" Target="../customXml/item13.xml"/><Relationship Id="rId44" Type="http://schemas.openxmlformats.org/officeDocument/2006/relationships/customXml" Target="../customXml/item2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theme" Target="theme/theme1.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46" Type="http://schemas.openxmlformats.org/officeDocument/2006/relationships/customXml" Target="../customXml/item28.xml"/><Relationship Id="rId20" Type="http://schemas.openxmlformats.org/officeDocument/2006/relationships/customXml" Target="../customXml/item2.xml"/><Relationship Id="rId41" Type="http://schemas.openxmlformats.org/officeDocument/2006/relationships/customXml" Target="../customXml/item2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14</xdr:col>
      <xdr:colOff>400540</xdr:colOff>
      <xdr:row>0</xdr:row>
      <xdr:rowOff>323033</xdr:rowOff>
    </xdr:to>
    <xdr:pic>
      <xdr:nvPicPr>
        <xdr:cNvPr id="2" name="Imagen 1">
          <a:extLst>
            <a:ext uri="{FF2B5EF4-FFF2-40B4-BE49-F238E27FC236}">
              <a16:creationId xmlns:a16="http://schemas.microsoft.com/office/drawing/2014/main" id="{AE33CE11-0833-4C21-AE08-942C29243BA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66172" y="0"/>
          <a:ext cx="4537962" cy="33065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6</xdr:col>
      <xdr:colOff>927252</xdr:colOff>
      <xdr:row>2</xdr:row>
      <xdr:rowOff>27273</xdr:rowOff>
    </xdr:to>
    <xdr:pic>
      <xdr:nvPicPr>
        <xdr:cNvPr id="2" name="Imagen 1">
          <a:extLst>
            <a:ext uri="{FF2B5EF4-FFF2-40B4-BE49-F238E27FC236}">
              <a16:creationId xmlns:a16="http://schemas.microsoft.com/office/drawing/2014/main" id="{4BE405D6-ED53-4DFC-8C8D-20E367F3D01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73957" y="0"/>
          <a:ext cx="4613012" cy="308882"/>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arabia\c\Mis%20documentos\MIFLEX\99\octubre\prod\REVSOTOCT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POCTprod-pagos99"/>
    </sheetNames>
    <sheetDataSet>
      <sheetData sheetId="0"/>
    </sheetDataSet>
  </externalBook>
</externalLink>
</file>

<file path=xl/theme/theme1.xml><?xml version="1.0" encoding="utf-8"?>
<a:theme xmlns:a="http://schemas.openxmlformats.org/drawingml/2006/main" name="AnalysysMasonXL">
  <a:themeElements>
    <a:clrScheme name="AnalysysMasonXL">
      <a:dk1>
        <a:srgbClr val="003352"/>
      </a:dk1>
      <a:lt1>
        <a:srgbClr val="FFFFFF"/>
      </a:lt1>
      <a:dk2>
        <a:srgbClr val="003352"/>
      </a:dk2>
      <a:lt2>
        <a:srgbClr val="61586C"/>
      </a:lt2>
      <a:accent1>
        <a:srgbClr val="221F72"/>
      </a:accent1>
      <a:accent2>
        <a:srgbClr val="6762D4"/>
      </a:accent2>
      <a:accent3>
        <a:srgbClr val="A5A2E6"/>
      </a:accent3>
      <a:accent4>
        <a:srgbClr val="5A2149"/>
      </a:accent4>
      <a:accent5>
        <a:srgbClr val="9F3B80"/>
      </a:accent5>
      <a:accent6>
        <a:srgbClr val="D284BA"/>
      </a:accent6>
      <a:hlink>
        <a:srgbClr val="013352"/>
      </a:hlink>
      <a:folHlink>
        <a:srgbClr val="003352"/>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eamble3">
    <outlinePr summaryBelow="0"/>
    <pageSetUpPr autoPageBreaks="0" fitToPage="1"/>
  </sheetPr>
  <dimension ref="A1:M144"/>
  <sheetViews>
    <sheetView showGridLines="0" defaultGridColor="0" colorId="22" zoomScaleNormal="100" workbookViewId="0">
      <pane ySplit="1" topLeftCell="A2" activePane="bottomLeft" state="frozen"/>
      <selection pane="bottomLeft" sqref="A1:XFD1048576"/>
    </sheetView>
  </sheetViews>
  <sheetFormatPr baseColWidth="10" defaultColWidth="12.7109375" defaultRowHeight="12" x14ac:dyDescent="0.2"/>
  <cols>
    <col min="1" max="1" width="2.7109375" customWidth="1"/>
    <col min="2" max="2" width="26.5703125" customWidth="1"/>
  </cols>
  <sheetData>
    <row r="1" spans="1:13" s="61" customFormat="1" ht="33.75" customHeight="1" x14ac:dyDescent="0.2">
      <c r="C1" s="67" t="s">
        <v>118</v>
      </c>
    </row>
    <row r="2" spans="1:13" ht="12" customHeight="1" x14ac:dyDescent="0.2"/>
    <row r="3" spans="1:13" x14ac:dyDescent="0.2">
      <c r="A3" s="23" t="s">
        <v>94</v>
      </c>
    </row>
    <row r="4" spans="1:13" x14ac:dyDescent="0.2">
      <c r="A4" s="23" t="s">
        <v>117</v>
      </c>
    </row>
    <row r="6" spans="1:13" ht="18" x14ac:dyDescent="0.2">
      <c r="A6" s="7" t="s">
        <v>82</v>
      </c>
    </row>
    <row r="7" spans="1:13" x14ac:dyDescent="0.2">
      <c r="A7" s="63" t="s">
        <v>83</v>
      </c>
      <c r="B7" s="42"/>
      <c r="C7" s="42"/>
      <c r="D7" s="42"/>
      <c r="E7" s="42"/>
    </row>
    <row r="8" spans="1:13" x14ac:dyDescent="0.2">
      <c r="A8" s="23" t="s">
        <v>112</v>
      </c>
    </row>
    <row r="10" spans="1:13" x14ac:dyDescent="0.2">
      <c r="B10" s="4" t="s">
        <v>22</v>
      </c>
      <c r="C10" s="8">
        <v>100</v>
      </c>
      <c r="D10" s="23" t="s">
        <v>1</v>
      </c>
      <c r="E10" t="s">
        <v>52</v>
      </c>
    </row>
    <row r="12" spans="1:13" x14ac:dyDescent="0.2">
      <c r="B12" s="4" t="s">
        <v>22</v>
      </c>
      <c r="C12" s="8">
        <v>250</v>
      </c>
      <c r="D12" s="23" t="s">
        <v>1</v>
      </c>
      <c r="E12" s="47" t="s">
        <v>68</v>
      </c>
      <c r="F12" s="47"/>
      <c r="G12" s="47"/>
      <c r="H12" s="47"/>
      <c r="I12" s="47"/>
      <c r="J12" s="47"/>
      <c r="K12" s="47"/>
    </row>
    <row r="13" spans="1:13" hidden="1" x14ac:dyDescent="0.2">
      <c r="B13" s="3" t="s">
        <v>70</v>
      </c>
      <c r="C13" s="2">
        <v>100</v>
      </c>
    </row>
    <row r="14" spans="1:13" hidden="1" x14ac:dyDescent="0.2">
      <c r="B14" s="3" t="s">
        <v>71</v>
      </c>
      <c r="C14" s="2">
        <v>300</v>
      </c>
    </row>
    <row r="16" spans="1:13" x14ac:dyDescent="0.2">
      <c r="B16" s="4" t="s">
        <v>22</v>
      </c>
      <c r="C16" s="8">
        <v>300</v>
      </c>
      <c r="D16" s="23" t="s">
        <v>1</v>
      </c>
      <c r="E16" s="47" t="s">
        <v>72</v>
      </c>
      <c r="F16" s="47"/>
      <c r="G16" s="47"/>
      <c r="H16" s="47"/>
      <c r="I16" s="47"/>
      <c r="J16" s="47"/>
      <c r="K16" s="47"/>
      <c r="L16" s="47"/>
      <c r="M16" s="47"/>
    </row>
    <row r="17" spans="2:5" hidden="1" x14ac:dyDescent="0.2">
      <c r="B17" s="3" t="s">
        <v>69</v>
      </c>
      <c r="C17" s="2">
        <v>100</v>
      </c>
    </row>
    <row r="18" spans="2:5" hidden="1" x14ac:dyDescent="0.2">
      <c r="C18" s="2">
        <v>200</v>
      </c>
    </row>
    <row r="19" spans="2:5" hidden="1" x14ac:dyDescent="0.2">
      <c r="C19" s="2">
        <v>300</v>
      </c>
    </row>
    <row r="21" spans="2:5" x14ac:dyDescent="0.2">
      <c r="B21" s="4" t="s">
        <v>23</v>
      </c>
      <c r="C21" s="10">
        <v>100</v>
      </c>
      <c r="D21" s="23" t="s">
        <v>1</v>
      </c>
      <c r="E21" t="s">
        <v>51</v>
      </c>
    </row>
    <row r="23" spans="2:5" x14ac:dyDescent="0.2">
      <c r="B23" s="4" t="s">
        <v>78</v>
      </c>
      <c r="C23" s="50">
        <v>100</v>
      </c>
      <c r="D23" s="23" t="s">
        <v>1</v>
      </c>
      <c r="E23" t="s">
        <v>79</v>
      </c>
    </row>
    <row r="25" spans="2:5" x14ac:dyDescent="0.2">
      <c r="B25" s="4" t="s">
        <v>24</v>
      </c>
      <c r="C25" s="9">
        <v>100</v>
      </c>
      <c r="D25" s="23" t="s">
        <v>2</v>
      </c>
      <c r="E25" t="s">
        <v>124</v>
      </c>
    </row>
    <row r="27" spans="2:5" x14ac:dyDescent="0.2">
      <c r="B27" s="4" t="s">
        <v>25</v>
      </c>
      <c r="C27" s="11">
        <v>100</v>
      </c>
      <c r="D27" s="23" t="s">
        <v>2</v>
      </c>
      <c r="E27" t="s">
        <v>115</v>
      </c>
    </row>
    <row r="29" spans="2:5" ht="12" customHeight="1" x14ac:dyDescent="0.2">
      <c r="B29" s="4" t="s">
        <v>114</v>
      </c>
      <c r="C29" s="62">
        <v>100</v>
      </c>
      <c r="D29" s="23" t="s">
        <v>2</v>
      </c>
      <c r="E29" t="s">
        <v>116</v>
      </c>
    </row>
    <row r="31" spans="2:5" ht="12" customHeight="1" x14ac:dyDescent="0.2">
      <c r="B31" s="4" t="s">
        <v>99</v>
      </c>
      <c r="C31" s="56">
        <v>100</v>
      </c>
      <c r="D31" s="23" t="s">
        <v>2</v>
      </c>
      <c r="E31" t="s">
        <v>100</v>
      </c>
    </row>
    <row r="33" spans="1:11" ht="18" x14ac:dyDescent="0.2">
      <c r="A33" s="7" t="s">
        <v>84</v>
      </c>
    </row>
    <row r="34" spans="1:11" x14ac:dyDescent="0.2">
      <c r="A34" s="63" t="s">
        <v>85</v>
      </c>
      <c r="B34" s="42"/>
      <c r="C34" s="42"/>
      <c r="D34" s="42"/>
      <c r="E34" s="42"/>
    </row>
    <row r="35" spans="1:11" x14ac:dyDescent="0.2">
      <c r="A35" s="23" t="s">
        <v>113</v>
      </c>
    </row>
    <row r="37" spans="1:11" x14ac:dyDescent="0.2">
      <c r="B37" s="4" t="s">
        <v>3</v>
      </c>
      <c r="C37" s="12">
        <v>100</v>
      </c>
      <c r="D37" s="23" t="s">
        <v>2</v>
      </c>
      <c r="E37" t="s">
        <v>50</v>
      </c>
    </row>
    <row r="38" spans="1:11" x14ac:dyDescent="0.2">
      <c r="C38" s="12"/>
    </row>
    <row r="39" spans="1:11" x14ac:dyDescent="0.2">
      <c r="B39" s="4" t="s">
        <v>91</v>
      </c>
      <c r="C39" s="57">
        <v>123.45</v>
      </c>
      <c r="E39" t="s">
        <v>54</v>
      </c>
    </row>
    <row r="41" spans="1:11" x14ac:dyDescent="0.2">
      <c r="B41" s="4" t="s">
        <v>101</v>
      </c>
      <c r="C41" s="53">
        <v>0</v>
      </c>
      <c r="D41" s="23" t="s">
        <v>2</v>
      </c>
      <c r="E41" t="s">
        <v>53</v>
      </c>
      <c r="F41" s="47"/>
      <c r="G41" s="47"/>
      <c r="H41" s="47"/>
      <c r="I41" s="47"/>
      <c r="J41" s="47"/>
      <c r="K41" s="47"/>
    </row>
    <row r="43" spans="1:11" x14ac:dyDescent="0.2">
      <c r="B43" s="4" t="s">
        <v>101</v>
      </c>
      <c r="C43" s="53">
        <v>0.1</v>
      </c>
      <c r="D43" s="23" t="s">
        <v>2</v>
      </c>
      <c r="E43" s="47" t="s">
        <v>120</v>
      </c>
      <c r="F43" s="47"/>
      <c r="G43" s="47"/>
      <c r="H43" s="47"/>
      <c r="I43" s="47"/>
      <c r="J43" s="47"/>
      <c r="K43" s="47"/>
    </row>
    <row r="45" spans="1:11" x14ac:dyDescent="0.2">
      <c r="B45" s="4" t="s">
        <v>4</v>
      </c>
      <c r="C45" s="13">
        <v>100</v>
      </c>
      <c r="E45" t="s">
        <v>13</v>
      </c>
    </row>
    <row r="47" spans="1:11" x14ac:dyDescent="0.2">
      <c r="B47" s="4" t="s">
        <v>31</v>
      </c>
      <c r="C47" s="39" t="s">
        <v>31</v>
      </c>
      <c r="D47" s="23" t="s">
        <v>2</v>
      </c>
      <c r="E47" t="s">
        <v>121</v>
      </c>
    </row>
    <row r="49" spans="1:10" x14ac:dyDescent="0.2">
      <c r="B49" s="4" t="s">
        <v>32</v>
      </c>
      <c r="C49" s="40" t="s">
        <v>32</v>
      </c>
      <c r="E49" t="s">
        <v>86</v>
      </c>
    </row>
    <row r="51" spans="1:10" x14ac:dyDescent="0.2">
      <c r="B51" s="4" t="s">
        <v>5</v>
      </c>
      <c r="C51" s="14">
        <v>100</v>
      </c>
      <c r="E51" t="s">
        <v>6</v>
      </c>
    </row>
    <row r="52" spans="1:10" x14ac:dyDescent="0.2">
      <c r="B52" s="4"/>
    </row>
    <row r="53" spans="1:10" x14ac:dyDescent="0.2">
      <c r="B53" s="4" t="s">
        <v>73</v>
      </c>
      <c r="C53" s="48">
        <v>100</v>
      </c>
      <c r="E53" t="s">
        <v>74</v>
      </c>
    </row>
    <row r="55" spans="1:10" ht="18" x14ac:dyDescent="0.2">
      <c r="A55" s="7" t="s">
        <v>42</v>
      </c>
    </row>
    <row r="56" spans="1:10" x14ac:dyDescent="0.2">
      <c r="A56" s="63" t="s">
        <v>48</v>
      </c>
      <c r="B56" s="42"/>
      <c r="C56" s="42"/>
      <c r="D56" s="42"/>
      <c r="E56" s="42"/>
    </row>
    <row r="57" spans="1:10" x14ac:dyDescent="0.2">
      <c r="A57" s="23" t="s">
        <v>75</v>
      </c>
    </row>
    <row r="58" spans="1:10" x14ac:dyDescent="0.2">
      <c r="A58" s="23" t="s">
        <v>77</v>
      </c>
    </row>
    <row r="60" spans="1:10" ht="24" x14ac:dyDescent="0.2">
      <c r="B60" s="1"/>
      <c r="C60" s="1" t="s">
        <v>8</v>
      </c>
      <c r="D60" s="1" t="s">
        <v>16</v>
      </c>
      <c r="E60" s="1" t="s">
        <v>10</v>
      </c>
      <c r="F60" s="1" t="s">
        <v>11</v>
      </c>
      <c r="G60" s="1" t="s">
        <v>9</v>
      </c>
      <c r="H60" s="1" t="s">
        <v>17</v>
      </c>
      <c r="I60" s="1" t="s">
        <v>14</v>
      </c>
      <c r="J60" s="1" t="s">
        <v>15</v>
      </c>
    </row>
    <row r="61" spans="1:10" x14ac:dyDescent="0.2">
      <c r="B61" s="4" t="s">
        <v>55</v>
      </c>
      <c r="C61" s="2">
        <v>1234.56</v>
      </c>
      <c r="D61" s="15">
        <v>123.45</v>
      </c>
      <c r="E61" s="45">
        <v>0.1234</v>
      </c>
      <c r="F61" s="46">
        <v>0.1234</v>
      </c>
      <c r="G61" s="16">
        <v>1234.56</v>
      </c>
      <c r="H61" s="17">
        <v>123.45</v>
      </c>
      <c r="I61" s="43">
        <v>1234.56</v>
      </c>
      <c r="J61" s="44">
        <v>0.1234</v>
      </c>
    </row>
    <row r="62" spans="1:10" x14ac:dyDescent="0.2">
      <c r="B62" s="4" t="s">
        <v>56</v>
      </c>
      <c r="C62" s="2">
        <v>-1234.56</v>
      </c>
      <c r="D62" s="15">
        <v>-123.45</v>
      </c>
      <c r="E62" s="45">
        <v>-0.1234</v>
      </c>
      <c r="F62" s="46">
        <v>-0.1234</v>
      </c>
      <c r="G62" s="16">
        <v>-1234.56</v>
      </c>
      <c r="H62" s="17">
        <v>-123.45</v>
      </c>
      <c r="I62" s="43">
        <v>-1234.56</v>
      </c>
      <c r="J62" s="44">
        <v>-0.1234</v>
      </c>
    </row>
    <row r="63" spans="1:10" x14ac:dyDescent="0.2">
      <c r="B63" s="4" t="s">
        <v>57</v>
      </c>
      <c r="C63" s="2">
        <v>0</v>
      </c>
      <c r="D63" s="15">
        <v>0</v>
      </c>
      <c r="E63" s="68">
        <v>0</v>
      </c>
      <c r="F63" s="69">
        <v>0</v>
      </c>
      <c r="G63" s="16">
        <v>0</v>
      </c>
      <c r="H63" s="17">
        <v>0</v>
      </c>
      <c r="I63" s="43">
        <v>0</v>
      </c>
      <c r="J63" s="44">
        <v>0</v>
      </c>
    </row>
    <row r="64" spans="1:10" ht="12.75" thickBot="1" x14ac:dyDescent="0.25">
      <c r="B64" s="4" t="s">
        <v>7</v>
      </c>
      <c r="C64" s="2" t="s">
        <v>7</v>
      </c>
      <c r="D64" s="15" t="s">
        <v>7</v>
      </c>
      <c r="E64" s="45" t="s">
        <v>7</v>
      </c>
      <c r="F64" s="46" t="s">
        <v>7</v>
      </c>
      <c r="G64" s="16" t="s">
        <v>7</v>
      </c>
      <c r="H64" s="17" t="s">
        <v>7</v>
      </c>
      <c r="I64" s="43" t="s">
        <v>7</v>
      </c>
      <c r="J64" s="44" t="s">
        <v>7</v>
      </c>
    </row>
    <row r="65" spans="2:10" x14ac:dyDescent="0.2">
      <c r="B65" s="38"/>
      <c r="C65" s="38"/>
      <c r="D65" s="38"/>
      <c r="E65" s="38"/>
      <c r="F65" s="38"/>
      <c r="G65" s="38"/>
      <c r="H65" s="38"/>
      <c r="I65" s="38"/>
      <c r="J65" s="38"/>
    </row>
    <row r="66" spans="2:10" ht="24" x14ac:dyDescent="0.2">
      <c r="B66" s="1"/>
      <c r="C66" s="1" t="s">
        <v>60</v>
      </c>
      <c r="D66" s="1" t="s">
        <v>61</v>
      </c>
      <c r="E66" s="1" t="s">
        <v>58</v>
      </c>
      <c r="F66" s="1" t="s">
        <v>59</v>
      </c>
    </row>
    <row r="67" spans="2:10" x14ac:dyDescent="0.2">
      <c r="B67" s="4" t="s">
        <v>55</v>
      </c>
      <c r="C67" s="20">
        <v>1234.56</v>
      </c>
      <c r="D67" s="21">
        <v>123.45</v>
      </c>
      <c r="E67" s="18">
        <v>1234.56</v>
      </c>
      <c r="F67" s="19">
        <v>123.45</v>
      </c>
    </row>
    <row r="68" spans="2:10" x14ac:dyDescent="0.2">
      <c r="B68" s="4" t="s">
        <v>56</v>
      </c>
      <c r="C68" s="20">
        <v>-1234.56</v>
      </c>
      <c r="D68" s="21">
        <v>-123.45</v>
      </c>
      <c r="E68" s="18">
        <v>-1234.56</v>
      </c>
      <c r="F68" s="19">
        <v>-123.45</v>
      </c>
    </row>
    <row r="69" spans="2:10" x14ac:dyDescent="0.2">
      <c r="B69" s="4" t="s">
        <v>57</v>
      </c>
      <c r="C69" s="20">
        <v>0</v>
      </c>
      <c r="D69" s="21">
        <v>0</v>
      </c>
      <c r="E69" s="18">
        <v>0</v>
      </c>
      <c r="F69" s="19">
        <v>0</v>
      </c>
    </row>
    <row r="70" spans="2:10" ht="12.75" thickBot="1" x14ac:dyDescent="0.25">
      <c r="B70" s="4" t="s">
        <v>7</v>
      </c>
      <c r="C70" s="20" t="s">
        <v>7</v>
      </c>
      <c r="D70" s="21" t="s">
        <v>7</v>
      </c>
      <c r="E70" s="18" t="s">
        <v>7</v>
      </c>
      <c r="F70" s="19" t="s">
        <v>7</v>
      </c>
    </row>
    <row r="71" spans="2:10" x14ac:dyDescent="0.2">
      <c r="B71" s="38"/>
      <c r="C71" s="38"/>
      <c r="D71" s="38"/>
      <c r="E71" s="38"/>
      <c r="F71" s="38"/>
    </row>
    <row r="72" spans="2:10" ht="24" x14ac:dyDescent="0.2">
      <c r="B72" s="1"/>
      <c r="C72" s="1" t="s">
        <v>62</v>
      </c>
      <c r="D72" s="1" t="s">
        <v>63</v>
      </c>
      <c r="E72" s="1" t="s">
        <v>19</v>
      </c>
      <c r="F72" s="1" t="s">
        <v>18</v>
      </c>
    </row>
    <row r="73" spans="2:10" x14ac:dyDescent="0.2">
      <c r="B73" s="4" t="s">
        <v>55</v>
      </c>
      <c r="C73" s="26">
        <v>1234.56</v>
      </c>
      <c r="D73" s="27">
        <v>123.45</v>
      </c>
      <c r="E73" s="24">
        <v>1234.56</v>
      </c>
      <c r="F73" s="25">
        <v>123.45</v>
      </c>
    </row>
    <row r="74" spans="2:10" x14ac:dyDescent="0.2">
      <c r="B74" s="4" t="s">
        <v>56</v>
      </c>
      <c r="C74" s="26">
        <v>-1234.56</v>
      </c>
      <c r="D74" s="27">
        <v>-123.45</v>
      </c>
      <c r="E74" s="24">
        <v>-1234.56</v>
      </c>
      <c r="F74" s="25">
        <v>-123.45</v>
      </c>
    </row>
    <row r="75" spans="2:10" x14ac:dyDescent="0.2">
      <c r="B75" s="4" t="s">
        <v>57</v>
      </c>
      <c r="C75" s="26">
        <v>0</v>
      </c>
      <c r="D75" s="27">
        <v>0</v>
      </c>
      <c r="E75" s="24">
        <v>0</v>
      </c>
      <c r="F75" s="25">
        <v>0</v>
      </c>
    </row>
    <row r="76" spans="2:10" ht="12.75" thickBot="1" x14ac:dyDescent="0.25">
      <c r="B76" s="4" t="s">
        <v>7</v>
      </c>
      <c r="C76" s="26" t="s">
        <v>7</v>
      </c>
      <c r="D76" s="27" t="s">
        <v>7</v>
      </c>
      <c r="E76" s="24" t="s">
        <v>7</v>
      </c>
      <c r="F76" s="25" t="s">
        <v>7</v>
      </c>
    </row>
    <row r="77" spans="2:10" x14ac:dyDescent="0.2">
      <c r="B77" s="38"/>
      <c r="C77" s="38"/>
      <c r="D77" s="38"/>
      <c r="E77" s="38"/>
      <c r="F77" s="38"/>
    </row>
    <row r="78" spans="2:10" ht="24" x14ac:dyDescent="0.2">
      <c r="B78" s="1"/>
      <c r="C78" s="1" t="s">
        <v>64</v>
      </c>
      <c r="D78" s="1" t="s">
        <v>65</v>
      </c>
      <c r="E78" s="1" t="s">
        <v>21</v>
      </c>
      <c r="F78" s="1" t="s">
        <v>20</v>
      </c>
    </row>
    <row r="79" spans="2:10" x14ac:dyDescent="0.2">
      <c r="B79" s="4" t="s">
        <v>55</v>
      </c>
      <c r="C79" s="30">
        <v>1234.56</v>
      </c>
      <c r="D79" s="31">
        <v>123.45</v>
      </c>
      <c r="E79" s="28">
        <v>1234.56</v>
      </c>
      <c r="F79" s="29">
        <v>123.45</v>
      </c>
    </row>
    <row r="80" spans="2:10" x14ac:dyDescent="0.2">
      <c r="B80" s="4" t="s">
        <v>56</v>
      </c>
      <c r="C80" s="30">
        <v>-1234.56</v>
      </c>
      <c r="D80" s="31">
        <v>-123.45</v>
      </c>
      <c r="E80" s="28">
        <v>-1234.56</v>
      </c>
      <c r="F80" s="29">
        <v>-123.45</v>
      </c>
    </row>
    <row r="81" spans="1:6" x14ac:dyDescent="0.2">
      <c r="B81" s="4" t="s">
        <v>57</v>
      </c>
      <c r="C81" s="30">
        <v>0</v>
      </c>
      <c r="D81" s="31">
        <v>0</v>
      </c>
      <c r="E81" s="28">
        <v>0</v>
      </c>
      <c r="F81" s="29">
        <v>0</v>
      </c>
    </row>
    <row r="82" spans="1:6" ht="12.75" thickBot="1" x14ac:dyDescent="0.25">
      <c r="B82" s="4" t="s">
        <v>7</v>
      </c>
      <c r="C82" s="30" t="s">
        <v>7</v>
      </c>
      <c r="D82" s="31" t="s">
        <v>7</v>
      </c>
      <c r="E82" s="28" t="s">
        <v>7</v>
      </c>
      <c r="F82" s="29" t="s">
        <v>7</v>
      </c>
    </row>
    <row r="83" spans="1:6" x14ac:dyDescent="0.2">
      <c r="B83" s="38"/>
      <c r="C83" s="38"/>
      <c r="D83" s="38"/>
      <c r="E83" s="38"/>
      <c r="F83" s="38"/>
    </row>
    <row r="84" spans="1:6" ht="24" x14ac:dyDescent="0.2">
      <c r="B84" s="1"/>
      <c r="C84" s="1" t="s">
        <v>12</v>
      </c>
      <c r="D84" s="1" t="s">
        <v>66</v>
      </c>
      <c r="E84" s="1" t="s">
        <v>67</v>
      </c>
    </row>
    <row r="85" spans="1:6" ht="12.75" thickBot="1" x14ac:dyDescent="0.25">
      <c r="B85" s="4" t="s">
        <v>12</v>
      </c>
      <c r="C85" s="22">
        <v>37591</v>
      </c>
      <c r="D85" s="59">
        <v>37591</v>
      </c>
      <c r="E85" s="32">
        <v>37591</v>
      </c>
    </row>
    <row r="86" spans="1:6" x14ac:dyDescent="0.2">
      <c r="B86" s="38"/>
      <c r="C86" s="38"/>
      <c r="D86" s="38"/>
      <c r="E86" s="38"/>
    </row>
    <row r="87" spans="1:6" ht="18" x14ac:dyDescent="0.2">
      <c r="A87" s="7" t="s">
        <v>81</v>
      </c>
    </row>
    <row r="88" spans="1:6" x14ac:dyDescent="0.2">
      <c r="A88" s="63" t="s">
        <v>80</v>
      </c>
      <c r="B88" s="42"/>
      <c r="C88" s="42"/>
      <c r="D88" s="42"/>
      <c r="E88" s="42"/>
    </row>
    <row r="89" spans="1:6" x14ac:dyDescent="0.2">
      <c r="A89" s="23" t="s">
        <v>41</v>
      </c>
    </row>
    <row r="90" spans="1:6" x14ac:dyDescent="0.2">
      <c r="A90" s="23"/>
    </row>
    <row r="91" spans="1:6" ht="27.75" x14ac:dyDescent="0.2">
      <c r="A91" s="23"/>
      <c r="B91" s="65" t="s">
        <v>122</v>
      </c>
      <c r="C91" s="65" t="s">
        <v>119</v>
      </c>
      <c r="D91" s="65"/>
      <c r="E91" t="s">
        <v>123</v>
      </c>
    </row>
    <row r="92" spans="1:6" x14ac:dyDescent="0.2">
      <c r="A92" s="23"/>
    </row>
    <row r="93" spans="1:6" ht="23.25" x14ac:dyDescent="0.2">
      <c r="A93" s="23"/>
      <c r="B93" s="66" t="s">
        <v>33</v>
      </c>
      <c r="C93" s="66" t="s">
        <v>44</v>
      </c>
      <c r="D93" s="66"/>
      <c r="E93" t="s">
        <v>37</v>
      </c>
    </row>
    <row r="95" spans="1:6" ht="18" x14ac:dyDescent="0.2">
      <c r="B95" s="7" t="s">
        <v>34</v>
      </c>
      <c r="C95" s="7" t="s">
        <v>44</v>
      </c>
      <c r="E95" t="s">
        <v>38</v>
      </c>
    </row>
    <row r="97" spans="1:6" ht="15.75" x14ac:dyDescent="0.2">
      <c r="B97" s="34" t="s">
        <v>35</v>
      </c>
      <c r="C97" s="34" t="s">
        <v>44</v>
      </c>
      <c r="E97" t="s">
        <v>39</v>
      </c>
    </row>
    <row r="99" spans="1:6" x14ac:dyDescent="0.2">
      <c r="B99" s="33" t="s">
        <v>36</v>
      </c>
      <c r="C99" s="33" t="s">
        <v>44</v>
      </c>
      <c r="E99" t="s">
        <v>40</v>
      </c>
    </row>
    <row r="101" spans="1:6" ht="18" x14ac:dyDescent="0.2">
      <c r="A101" s="7" t="s">
        <v>43</v>
      </c>
    </row>
    <row r="102" spans="1:6" x14ac:dyDescent="0.2">
      <c r="A102" s="63" t="s">
        <v>49</v>
      </c>
      <c r="B102" s="42"/>
      <c r="C102" s="42"/>
      <c r="D102" s="42"/>
      <c r="E102" s="42"/>
    </row>
    <row r="103" spans="1:6" x14ac:dyDescent="0.2">
      <c r="A103" s="23" t="s">
        <v>46</v>
      </c>
    </row>
    <row r="105" spans="1:6" ht="15.75" x14ac:dyDescent="0.2">
      <c r="A105" s="34" t="s">
        <v>92</v>
      </c>
    </row>
    <row r="106" spans="1:6" x14ac:dyDescent="0.2">
      <c r="B106" s="54" t="s">
        <v>102</v>
      </c>
      <c r="C106" s="1" t="s">
        <v>98</v>
      </c>
      <c r="D106" s="1" t="s">
        <v>98</v>
      </c>
      <c r="E106" s="1" t="s">
        <v>98</v>
      </c>
      <c r="F106" s="1" t="s">
        <v>98</v>
      </c>
    </row>
    <row r="107" spans="1:6" x14ac:dyDescent="0.2">
      <c r="B107" s="4" t="s">
        <v>26</v>
      </c>
    </row>
    <row r="108" spans="1:6" x14ac:dyDescent="0.2">
      <c r="B108" s="4" t="s">
        <v>26</v>
      </c>
    </row>
    <row r="109" spans="1:6" ht="12.75" thickBot="1" x14ac:dyDescent="0.25">
      <c r="B109" s="4" t="s">
        <v>26</v>
      </c>
    </row>
    <row r="110" spans="1:6" x14ac:dyDescent="0.2">
      <c r="B110" s="38" t="s">
        <v>30</v>
      </c>
      <c r="C110" s="38"/>
      <c r="D110" s="38"/>
      <c r="E110" s="38"/>
      <c r="F110" s="38"/>
    </row>
    <row r="112" spans="1:6" ht="15.75" x14ac:dyDescent="0.2">
      <c r="A112" s="34" t="s">
        <v>93</v>
      </c>
    </row>
    <row r="113" spans="1:9" x14ac:dyDescent="0.2">
      <c r="B113" s="54"/>
      <c r="C113" s="58"/>
      <c r="D113" s="58" t="s">
        <v>111</v>
      </c>
      <c r="E113" s="58"/>
      <c r="F113" s="58" t="s">
        <v>111</v>
      </c>
      <c r="G113" s="58"/>
    </row>
    <row r="114" spans="1:9" ht="24" x14ac:dyDescent="0.2">
      <c r="B114" s="54" t="s">
        <v>102</v>
      </c>
      <c r="C114" s="55" t="s">
        <v>103</v>
      </c>
      <c r="D114" s="1" t="s">
        <v>98</v>
      </c>
      <c r="E114" s="1" t="s">
        <v>98</v>
      </c>
      <c r="F114" s="1" t="s">
        <v>98</v>
      </c>
      <c r="G114" s="1" t="s">
        <v>98</v>
      </c>
    </row>
    <row r="115" spans="1:9" x14ac:dyDescent="0.2">
      <c r="B115" s="4" t="s">
        <v>26</v>
      </c>
      <c r="D115" s="49" t="s">
        <v>76</v>
      </c>
      <c r="E115" s="49"/>
      <c r="F115" s="37" t="s">
        <v>45</v>
      </c>
      <c r="G115" s="37"/>
    </row>
    <row r="116" spans="1:9" ht="12.75" thickBot="1" x14ac:dyDescent="0.25">
      <c r="B116" s="3" t="s">
        <v>27</v>
      </c>
      <c r="D116" s="49"/>
      <c r="E116" s="49"/>
      <c r="F116" s="37"/>
      <c r="G116" s="37"/>
    </row>
    <row r="117" spans="1:9" ht="12.75" thickBot="1" x14ac:dyDescent="0.25">
      <c r="B117" s="6" t="s">
        <v>29</v>
      </c>
      <c r="C117" s="35"/>
      <c r="D117" s="35"/>
      <c r="E117" s="35"/>
      <c r="F117" s="64"/>
      <c r="G117" s="64"/>
    </row>
    <row r="118" spans="1:9" x14ac:dyDescent="0.2">
      <c r="B118" s="5" t="s">
        <v>28</v>
      </c>
      <c r="C118" s="36"/>
      <c r="D118" s="36"/>
      <c r="E118" s="36"/>
      <c r="F118" s="36"/>
      <c r="G118" s="36"/>
    </row>
    <row r="121" spans="1:9" x14ac:dyDescent="0.2">
      <c r="A121" t="s">
        <v>47</v>
      </c>
    </row>
    <row r="122" spans="1:9" x14ac:dyDescent="0.2">
      <c r="A122" s="23" t="s">
        <v>97</v>
      </c>
    </row>
    <row r="124" spans="1:9" ht="15.75" x14ac:dyDescent="0.2">
      <c r="A124" s="34" t="s">
        <v>90</v>
      </c>
    </row>
    <row r="125" spans="1:9" x14ac:dyDescent="0.2">
      <c r="B125" s="54" t="s">
        <v>105</v>
      </c>
      <c r="C125" s="55" t="s">
        <v>106</v>
      </c>
      <c r="D125" s="55" t="s">
        <v>0</v>
      </c>
      <c r="E125" s="1">
        <v>2000</v>
      </c>
      <c r="F125" s="1">
        <v>2001</v>
      </c>
      <c r="G125" s="1">
        <v>2002</v>
      </c>
      <c r="H125" s="1">
        <v>2003</v>
      </c>
      <c r="I125" s="41" t="s">
        <v>104</v>
      </c>
    </row>
    <row r="126" spans="1:9" x14ac:dyDescent="0.2">
      <c r="B126" s="4" t="s">
        <v>89</v>
      </c>
      <c r="C126" t="s">
        <v>107</v>
      </c>
      <c r="D126" s="23" t="s">
        <v>110</v>
      </c>
      <c r="E126" s="70">
        <v>1000000</v>
      </c>
      <c r="F126" s="9">
        <f t="shared" ref="F126:G128" si="0">E126+($H126-$E126)/3</f>
        <v>1000000</v>
      </c>
      <c r="G126" s="9">
        <f t="shared" si="0"/>
        <v>1000000</v>
      </c>
      <c r="H126" s="8">
        <v>1000000</v>
      </c>
    </row>
    <row r="127" spans="1:9" x14ac:dyDescent="0.2">
      <c r="B127" s="4" t="s">
        <v>87</v>
      </c>
      <c r="C127" t="s">
        <v>107</v>
      </c>
      <c r="D127" s="23" t="s">
        <v>110</v>
      </c>
      <c r="E127" s="10">
        <v>100000</v>
      </c>
      <c r="F127" s="9">
        <f t="shared" si="0"/>
        <v>133333.33333333334</v>
      </c>
      <c r="G127" s="9">
        <f t="shared" si="0"/>
        <v>166666.66666666669</v>
      </c>
      <c r="H127" s="8">
        <v>200000</v>
      </c>
    </row>
    <row r="128" spans="1:9" x14ac:dyDescent="0.2">
      <c r="B128" s="4" t="s">
        <v>88</v>
      </c>
      <c r="C128" t="s">
        <v>107</v>
      </c>
      <c r="D128" s="23" t="s">
        <v>110</v>
      </c>
      <c r="E128" s="50">
        <v>50000</v>
      </c>
      <c r="F128" s="9">
        <f t="shared" si="0"/>
        <v>100000</v>
      </c>
      <c r="G128" s="9">
        <f t="shared" si="0"/>
        <v>150000</v>
      </c>
      <c r="H128" s="8">
        <v>200000</v>
      </c>
    </row>
    <row r="129" spans="1:9" x14ac:dyDescent="0.2">
      <c r="B129" s="5" t="s">
        <v>91</v>
      </c>
      <c r="C129" s="36" t="s">
        <v>107</v>
      </c>
      <c r="D129" s="36"/>
      <c r="E129" s="51">
        <f>SUM(E126:E128)</f>
        <v>1150000</v>
      </c>
      <c r="F129" s="51">
        <f>SUM(F126:F128)</f>
        <v>1233333.3333333333</v>
      </c>
      <c r="G129" s="51">
        <f>SUM(G126:G128)</f>
        <v>1316666.6666666667</v>
      </c>
      <c r="H129" s="51">
        <f>SUM(H126:H128)</f>
        <v>1400000</v>
      </c>
    </row>
    <row r="131" spans="1:9" ht="15.75" x14ac:dyDescent="0.2">
      <c r="A131" s="34" t="s">
        <v>90</v>
      </c>
    </row>
    <row r="132" spans="1:9" x14ac:dyDescent="0.2">
      <c r="B132" s="54" t="s">
        <v>105</v>
      </c>
      <c r="C132" s="55" t="s">
        <v>106</v>
      </c>
      <c r="D132" s="55" t="s">
        <v>0</v>
      </c>
      <c r="E132" s="1">
        <v>2000</v>
      </c>
      <c r="F132" s="1">
        <v>2001</v>
      </c>
      <c r="G132" s="1">
        <v>2002</v>
      </c>
      <c r="H132" s="1">
        <v>2003</v>
      </c>
    </row>
    <row r="133" spans="1:9" x14ac:dyDescent="0.2">
      <c r="B133" s="4" t="s">
        <v>89</v>
      </c>
      <c r="C133" t="s">
        <v>107</v>
      </c>
      <c r="D133" s="23" t="s">
        <v>108</v>
      </c>
      <c r="E133" s="11">
        <f t="array" ref="E133:H135">$E$126:$H$128</f>
        <v>1000000</v>
      </c>
      <c r="F133" s="11">
        <v>1000000</v>
      </c>
      <c r="G133" s="11">
        <v>1000000</v>
      </c>
      <c r="H133" s="11">
        <v>1000000</v>
      </c>
    </row>
    <row r="134" spans="1:9" x14ac:dyDescent="0.2">
      <c r="B134" s="4" t="s">
        <v>87</v>
      </c>
      <c r="C134" t="s">
        <v>107</v>
      </c>
      <c r="D134" s="23" t="s">
        <v>108</v>
      </c>
      <c r="E134" s="11">
        <v>100000</v>
      </c>
      <c r="F134" s="11">
        <v>133333.33333333334</v>
      </c>
      <c r="G134" s="11">
        <v>166666.66666666669</v>
      </c>
      <c r="H134" s="11">
        <v>200000</v>
      </c>
    </row>
    <row r="135" spans="1:9" x14ac:dyDescent="0.2">
      <c r="B135" s="4" t="s">
        <v>88</v>
      </c>
      <c r="C135" t="s">
        <v>107</v>
      </c>
      <c r="D135" s="23" t="s">
        <v>109</v>
      </c>
      <c r="E135" s="56">
        <v>50000</v>
      </c>
      <c r="F135" s="56">
        <v>100000</v>
      </c>
      <c r="G135" s="56">
        <v>150000</v>
      </c>
      <c r="H135" s="56">
        <v>200000</v>
      </c>
    </row>
    <row r="136" spans="1:9" x14ac:dyDescent="0.2">
      <c r="B136" s="5" t="s">
        <v>91</v>
      </c>
      <c r="C136" s="36" t="s">
        <v>107</v>
      </c>
      <c r="D136" s="36"/>
      <c r="E136" s="51">
        <f>SUM(E133:E135)</f>
        <v>1150000</v>
      </c>
      <c r="F136" s="51">
        <f>SUM(F133:F135)</f>
        <v>1233333.3333333333</v>
      </c>
      <c r="G136" s="51">
        <f>SUM(G133:G135)</f>
        <v>1316666.6666666667</v>
      </c>
      <c r="H136" s="51">
        <f>SUM(H133:H135)</f>
        <v>1400000</v>
      </c>
    </row>
    <row r="139" spans="1:9" ht="15.75" x14ac:dyDescent="0.2">
      <c r="A139" s="34" t="s">
        <v>95</v>
      </c>
    </row>
    <row r="140" spans="1:9" x14ac:dyDescent="0.2">
      <c r="B140" s="54" t="s">
        <v>105</v>
      </c>
      <c r="C140" s="55" t="s">
        <v>106</v>
      </c>
      <c r="D140" s="55" t="s">
        <v>0</v>
      </c>
      <c r="E140" s="1">
        <v>2000</v>
      </c>
      <c r="F140" s="1">
        <v>2001</v>
      </c>
      <c r="G140" s="1">
        <v>2002</v>
      </c>
      <c r="H140" s="1">
        <v>2003</v>
      </c>
    </row>
    <row r="141" spans="1:9" x14ac:dyDescent="0.2">
      <c r="B141" s="4" t="s">
        <v>89</v>
      </c>
      <c r="C141" t="s">
        <v>107</v>
      </c>
      <c r="D141" s="23"/>
      <c r="E141" s="2"/>
      <c r="F141" s="12">
        <f t="shared" ref="F141:H143" si="1">(F133+E133)/2</f>
        <v>1000000</v>
      </c>
      <c r="G141" s="12">
        <f t="shared" si="1"/>
        <v>1000000</v>
      </c>
      <c r="H141" s="12">
        <f t="shared" si="1"/>
        <v>1000000</v>
      </c>
    </row>
    <row r="142" spans="1:9" x14ac:dyDescent="0.2">
      <c r="B142" s="4" t="s">
        <v>87</v>
      </c>
      <c r="C142" t="s">
        <v>107</v>
      </c>
      <c r="D142" s="23"/>
      <c r="E142" s="2"/>
      <c r="F142" s="12">
        <f t="shared" si="1"/>
        <v>116666.66666666667</v>
      </c>
      <c r="G142" s="12">
        <f t="shared" si="1"/>
        <v>150000</v>
      </c>
      <c r="H142" s="12">
        <f t="shared" si="1"/>
        <v>183333.33333333334</v>
      </c>
    </row>
    <row r="143" spans="1:9" x14ac:dyDescent="0.2">
      <c r="B143" s="4" t="s">
        <v>88</v>
      </c>
      <c r="C143" t="s">
        <v>107</v>
      </c>
      <c r="D143" s="23"/>
      <c r="E143" s="2"/>
      <c r="F143" s="12">
        <f t="shared" si="1"/>
        <v>75000</v>
      </c>
      <c r="G143" s="12">
        <f t="shared" si="1"/>
        <v>125000</v>
      </c>
      <c r="H143" s="12">
        <f t="shared" si="1"/>
        <v>175000</v>
      </c>
    </row>
    <row r="144" spans="1:9" x14ac:dyDescent="0.2">
      <c r="B144" s="52" t="s">
        <v>91</v>
      </c>
      <c r="C144" s="60" t="s">
        <v>107</v>
      </c>
      <c r="D144" s="60"/>
      <c r="E144" s="13"/>
      <c r="F144" s="13">
        <f>SUM(F141:F143)</f>
        <v>1191666.6666666667</v>
      </c>
      <c r="G144" s="13">
        <f>SUM(G141:G143)</f>
        <v>1275000</v>
      </c>
      <c r="H144" s="13">
        <f>SUM(H141:H143)</f>
        <v>1358333.3333333333</v>
      </c>
      <c r="I144" s="41" t="s">
        <v>96</v>
      </c>
    </row>
  </sheetData>
  <phoneticPr fontId="0" type="noConversion"/>
  <conditionalFormatting sqref="C43">
    <cfRule type="cellIs" dxfId="0" priority="1" stopIfTrue="1" operator="notEqual">
      <formula>0</formula>
    </cfRule>
  </conditionalFormatting>
  <dataValidations count="2">
    <dataValidation type="list" showInputMessage="1" showErrorMessage="1" errorTitle="Input Parameter" error="Please select value from list" promptTitle="Input Parameter" prompt="Select from list" sqref="C16" xr:uid="{00000000-0002-0000-0200-000000000000}">
      <formula1>$C$17:$C$19</formula1>
    </dataValidation>
    <dataValidation type="decimal" showInputMessage="1" showErrorMessage="1" errorTitle="Input Parameter" error="Value must lie between 100 and 300" promptTitle="Input Parameter" prompt="Value must lie between 100 and 300" sqref="C12" xr:uid="{00000000-0002-0000-0200-000001000000}">
      <formula1>C13</formula1>
      <formula2>C14</formula2>
    </dataValidation>
  </dataValidations>
  <pageMargins left="0.74803149606299213" right="0.74803149606299213" top="0.51181102362204722" bottom="0.51181102362204722" header="0.51181102362204722" footer="0.35433070866141736"/>
  <pageSetup paperSize="9" fitToHeight="0" orientation="landscape" horizontalDpi="4294967292" verticalDpi="4294967292" r:id="rId1"/>
  <headerFooter alignWithMargins="0">
    <oddFooter xml:space="preserve">&amp;L&amp;F : &amp;A&amp;CPrinted at &amp;T on &amp;D&amp;RCommercial in confidence © Analysys Mason </oddFooter>
  </headerFooter>
  <rowBreaks count="3" manualBreakCount="3">
    <brk id="54" max="16383" man="1"/>
    <brk id="86" max="16383" man="1"/>
    <brk id="12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786B4-568B-4E81-B4E5-692A97148608}">
  <sheetPr codeName="Hoja8"/>
  <dimension ref="A4:L119"/>
  <sheetViews>
    <sheetView showGridLines="0" zoomScaleNormal="100" workbookViewId="0">
      <selection sqref="A1:XFD1048576"/>
    </sheetView>
  </sheetViews>
  <sheetFormatPr baseColWidth="10" defaultRowHeight="12" x14ac:dyDescent="0.2"/>
  <cols>
    <col min="1" max="1" width="7" customWidth="1"/>
    <col min="2" max="2" width="68.85546875" bestFit="1" customWidth="1"/>
    <col min="3" max="3" width="10.42578125" bestFit="1" customWidth="1"/>
    <col min="4" max="4" width="28.140625" bestFit="1" customWidth="1"/>
    <col min="5" max="5" width="28.28515625" customWidth="1"/>
    <col min="6" max="6" width="32.140625" customWidth="1"/>
    <col min="7" max="7" width="36.85546875" customWidth="1"/>
    <col min="8" max="8" width="20.7109375" customWidth="1"/>
    <col min="9" max="9" width="26.5703125" bestFit="1" customWidth="1"/>
    <col min="10" max="12" width="21.140625" customWidth="1"/>
  </cols>
  <sheetData>
    <row r="4" spans="1:12" s="219" customFormat="1" ht="15" x14ac:dyDescent="0.2">
      <c r="A4" s="220">
        <v>1</v>
      </c>
      <c r="B4" s="220" t="s">
        <v>451</v>
      </c>
    </row>
    <row r="6" spans="1:12" ht="72" x14ac:dyDescent="0.2">
      <c r="B6" s="169" t="s">
        <v>406</v>
      </c>
      <c r="C6" s="169" t="s">
        <v>407</v>
      </c>
      <c r="D6" s="169" t="s">
        <v>142</v>
      </c>
      <c r="E6" s="169" t="s">
        <v>452</v>
      </c>
      <c r="F6" s="169" t="s">
        <v>453</v>
      </c>
      <c r="G6" s="169" t="s">
        <v>454</v>
      </c>
      <c r="H6" s="169" t="s">
        <v>455</v>
      </c>
      <c r="I6" s="169" t="s">
        <v>410</v>
      </c>
      <c r="J6" s="169" t="s">
        <v>458</v>
      </c>
      <c r="K6" s="169" t="s">
        <v>457</v>
      </c>
      <c r="L6" s="169" t="s">
        <v>456</v>
      </c>
    </row>
    <row r="7" spans="1:12" x14ac:dyDescent="0.2">
      <c r="A7" s="151"/>
      <c r="B7" s="73" t="s">
        <v>267</v>
      </c>
      <c r="C7" s="73" t="s">
        <v>148</v>
      </c>
      <c r="D7" s="73" t="s">
        <v>387</v>
      </c>
      <c r="E7" s="264">
        <v>376</v>
      </c>
      <c r="F7" s="265">
        <v>1.2999999999999999E-3</v>
      </c>
      <c r="G7" s="215">
        <v>300.46869768998994</v>
      </c>
      <c r="H7" s="216">
        <v>300.46869768999005</v>
      </c>
      <c r="I7" s="215">
        <f>G7-H7</f>
        <v>0</v>
      </c>
      <c r="J7" s="217">
        <v>153</v>
      </c>
      <c r="K7" s="217">
        <v>0</v>
      </c>
      <c r="L7" s="218">
        <f t="shared" ref="L7:L71" si="0">J7+K7</f>
        <v>153</v>
      </c>
    </row>
    <row r="8" spans="1:12" x14ac:dyDescent="0.2">
      <c r="A8" s="151"/>
      <c r="B8" s="73" t="s">
        <v>402</v>
      </c>
      <c r="C8" s="73" t="s">
        <v>385</v>
      </c>
      <c r="D8" s="73" t="s">
        <v>387</v>
      </c>
      <c r="E8" s="264">
        <v>14</v>
      </c>
      <c r="F8" s="265">
        <v>1E-4</v>
      </c>
      <c r="G8" s="215">
        <v>300.46869768998994</v>
      </c>
      <c r="H8" s="216">
        <v>300.46869768999005</v>
      </c>
      <c r="I8" s="215">
        <f t="shared" ref="I8:I71" si="1">G8-H8</f>
        <v>0</v>
      </c>
      <c r="J8" s="217">
        <v>153</v>
      </c>
      <c r="K8" s="217">
        <v>0</v>
      </c>
      <c r="L8" s="218">
        <f t="shared" si="0"/>
        <v>153</v>
      </c>
    </row>
    <row r="9" spans="1:12" x14ac:dyDescent="0.2">
      <c r="A9" s="151"/>
      <c r="B9" s="73" t="s">
        <v>268</v>
      </c>
      <c r="C9" s="73" t="s">
        <v>148</v>
      </c>
      <c r="D9" s="73" t="s">
        <v>386</v>
      </c>
      <c r="E9" s="264">
        <v>187</v>
      </c>
      <c r="F9" s="265">
        <v>5.0000000000000001E-4</v>
      </c>
      <c r="G9" s="215">
        <v>569.13290927351864</v>
      </c>
      <c r="H9" s="216">
        <v>300.46869768999005</v>
      </c>
      <c r="I9" s="215">
        <f t="shared" si="1"/>
        <v>268.66421158352858</v>
      </c>
      <c r="J9" s="217">
        <v>153</v>
      </c>
      <c r="K9" s="217">
        <v>0</v>
      </c>
      <c r="L9" s="218">
        <f t="shared" si="0"/>
        <v>153</v>
      </c>
    </row>
    <row r="10" spans="1:12" x14ac:dyDescent="0.2">
      <c r="A10" s="151"/>
      <c r="B10" s="73" t="s">
        <v>269</v>
      </c>
      <c r="C10" s="73" t="s">
        <v>148</v>
      </c>
      <c r="D10" s="73" t="s">
        <v>386</v>
      </c>
      <c r="E10" s="264">
        <v>2</v>
      </c>
      <c r="F10" s="265">
        <v>1E-4</v>
      </c>
      <c r="G10" s="215">
        <v>652.82892534315374</v>
      </c>
      <c r="H10" s="216">
        <v>300.46869768999005</v>
      </c>
      <c r="I10" s="215">
        <f t="shared" si="1"/>
        <v>352.36022765316369</v>
      </c>
      <c r="J10" s="217">
        <v>153</v>
      </c>
      <c r="K10" s="217">
        <v>0</v>
      </c>
      <c r="L10" s="218">
        <f t="shared" si="0"/>
        <v>153</v>
      </c>
    </row>
    <row r="11" spans="1:12" x14ac:dyDescent="0.2">
      <c r="A11" s="151"/>
      <c r="B11" s="73" t="s">
        <v>270</v>
      </c>
      <c r="C11" s="73" t="s">
        <v>148</v>
      </c>
      <c r="D11" s="73" t="s">
        <v>386</v>
      </c>
      <c r="E11" s="264">
        <v>23</v>
      </c>
      <c r="F11" s="265">
        <v>1E-4</v>
      </c>
      <c r="G11" s="215">
        <v>820.22095748242384</v>
      </c>
      <c r="H11" s="216">
        <v>300.46869768999005</v>
      </c>
      <c r="I11" s="215">
        <f t="shared" si="1"/>
        <v>519.75225979243373</v>
      </c>
      <c r="J11" s="217">
        <v>153</v>
      </c>
      <c r="K11" s="217">
        <v>0</v>
      </c>
      <c r="L11" s="218">
        <f t="shared" si="0"/>
        <v>153</v>
      </c>
    </row>
    <row r="12" spans="1:12" x14ac:dyDescent="0.2">
      <c r="A12" s="151"/>
      <c r="B12" s="73" t="s">
        <v>271</v>
      </c>
      <c r="C12" s="73" t="s">
        <v>148</v>
      </c>
      <c r="D12" s="73" t="s">
        <v>386</v>
      </c>
      <c r="E12" s="264">
        <v>1104</v>
      </c>
      <c r="F12" s="265">
        <v>4.4999999999999997E-3</v>
      </c>
      <c r="G12" s="215">
        <v>652.82892534315374</v>
      </c>
      <c r="H12" s="216">
        <v>300.46869768999005</v>
      </c>
      <c r="I12" s="215">
        <f t="shared" si="1"/>
        <v>352.36022765316369</v>
      </c>
      <c r="J12" s="217">
        <v>153</v>
      </c>
      <c r="K12" s="217">
        <v>0</v>
      </c>
      <c r="L12" s="218">
        <f t="shared" si="0"/>
        <v>153</v>
      </c>
    </row>
    <row r="13" spans="1:12" x14ac:dyDescent="0.2">
      <c r="A13" s="151"/>
      <c r="B13" s="73" t="s">
        <v>272</v>
      </c>
      <c r="C13" s="73" t="s">
        <v>148</v>
      </c>
      <c r="D13" s="73" t="s">
        <v>386</v>
      </c>
      <c r="E13" s="264">
        <v>0</v>
      </c>
      <c r="F13" s="265">
        <v>0</v>
      </c>
      <c r="G13" s="215">
        <v>736.52494141278873</v>
      </c>
      <c r="H13" s="216">
        <v>300.46869768999005</v>
      </c>
      <c r="I13" s="215">
        <f t="shared" si="1"/>
        <v>436.05624372279868</v>
      </c>
      <c r="J13" s="217">
        <v>153</v>
      </c>
      <c r="K13" s="217">
        <v>0</v>
      </c>
      <c r="L13" s="218">
        <f t="shared" si="0"/>
        <v>153</v>
      </c>
    </row>
    <row r="14" spans="1:12" x14ac:dyDescent="0.2">
      <c r="A14" s="151"/>
      <c r="B14" s="73" t="s">
        <v>273</v>
      </c>
      <c r="C14" s="73" t="s">
        <v>148</v>
      </c>
      <c r="D14" s="73" t="s">
        <v>386</v>
      </c>
      <c r="E14" s="264">
        <v>1356</v>
      </c>
      <c r="F14" s="265">
        <v>3.7000000000000002E-3</v>
      </c>
      <c r="G14" s="215">
        <v>736.52494141278873</v>
      </c>
      <c r="H14" s="216">
        <v>300.46869768999005</v>
      </c>
      <c r="I14" s="215">
        <f t="shared" si="1"/>
        <v>436.05624372279868</v>
      </c>
      <c r="J14" s="217">
        <v>153</v>
      </c>
      <c r="K14" s="217">
        <v>0</v>
      </c>
      <c r="L14" s="218">
        <f t="shared" si="0"/>
        <v>153</v>
      </c>
    </row>
    <row r="15" spans="1:12" x14ac:dyDescent="0.2">
      <c r="A15" s="151"/>
      <c r="B15" s="73" t="s">
        <v>274</v>
      </c>
      <c r="C15" s="73" t="s">
        <v>148</v>
      </c>
      <c r="D15" s="73" t="s">
        <v>386</v>
      </c>
      <c r="E15" s="264">
        <v>0</v>
      </c>
      <c r="F15" s="265">
        <v>0</v>
      </c>
      <c r="G15" s="215">
        <v>820.22095748242384</v>
      </c>
      <c r="H15" s="216">
        <v>300.46869768999005</v>
      </c>
      <c r="I15" s="215">
        <f t="shared" si="1"/>
        <v>519.75225979243373</v>
      </c>
      <c r="J15" s="217">
        <v>153</v>
      </c>
      <c r="K15" s="217">
        <v>0</v>
      </c>
      <c r="L15" s="218">
        <f t="shared" si="0"/>
        <v>153</v>
      </c>
    </row>
    <row r="16" spans="1:12" x14ac:dyDescent="0.2">
      <c r="A16" s="151"/>
      <c r="B16" s="73" t="s">
        <v>275</v>
      </c>
      <c r="C16" s="73" t="s">
        <v>148</v>
      </c>
      <c r="D16" s="73" t="s">
        <v>386</v>
      </c>
      <c r="E16" s="264">
        <v>3034</v>
      </c>
      <c r="F16" s="265">
        <v>1.2800000000000001E-2</v>
      </c>
      <c r="G16" s="215">
        <v>569.13290927351864</v>
      </c>
      <c r="H16" s="216">
        <v>300.46869768999005</v>
      </c>
      <c r="I16" s="215">
        <f t="shared" si="1"/>
        <v>268.66421158352858</v>
      </c>
      <c r="J16" s="217">
        <v>153</v>
      </c>
      <c r="K16" s="217">
        <v>0</v>
      </c>
      <c r="L16" s="218">
        <f t="shared" si="0"/>
        <v>153</v>
      </c>
    </row>
    <row r="17" spans="1:12" x14ac:dyDescent="0.2">
      <c r="A17" s="151"/>
      <c r="B17" s="73" t="s">
        <v>276</v>
      </c>
      <c r="C17" s="73" t="s">
        <v>148</v>
      </c>
      <c r="D17" s="73" t="s">
        <v>386</v>
      </c>
      <c r="E17" s="264">
        <v>0</v>
      </c>
      <c r="F17" s="265">
        <v>0</v>
      </c>
      <c r="G17" s="215">
        <v>652.82892534315374</v>
      </c>
      <c r="H17" s="216">
        <v>300.46869768999005</v>
      </c>
      <c r="I17" s="215">
        <f t="shared" si="1"/>
        <v>352.36022765316369</v>
      </c>
      <c r="J17" s="217">
        <v>153</v>
      </c>
      <c r="K17" s="217">
        <v>0</v>
      </c>
      <c r="L17" s="218">
        <f t="shared" si="0"/>
        <v>153</v>
      </c>
    </row>
    <row r="18" spans="1:12" x14ac:dyDescent="0.2">
      <c r="A18" s="151"/>
      <c r="B18" s="73" t="s">
        <v>277</v>
      </c>
      <c r="C18" s="73" t="s">
        <v>148</v>
      </c>
      <c r="D18" s="73" t="s">
        <v>388</v>
      </c>
      <c r="E18" s="264">
        <v>0</v>
      </c>
      <c r="F18" s="265">
        <v>0</v>
      </c>
      <c r="G18" s="215">
        <v>610.98091730833619</v>
      </c>
      <c r="H18" s="216">
        <v>343.18184602486792</v>
      </c>
      <c r="I18" s="215">
        <f t="shared" si="1"/>
        <v>267.79907128346827</v>
      </c>
      <c r="J18" s="217">
        <v>121</v>
      </c>
      <c r="K18" s="217">
        <v>97</v>
      </c>
      <c r="L18" s="218">
        <f t="shared" si="0"/>
        <v>218</v>
      </c>
    </row>
    <row r="19" spans="1:12" x14ac:dyDescent="0.2">
      <c r="A19" s="151"/>
      <c r="B19" s="73" t="s">
        <v>278</v>
      </c>
      <c r="C19" s="73" t="s">
        <v>148</v>
      </c>
      <c r="D19" s="73" t="s">
        <v>388</v>
      </c>
      <c r="E19" s="264">
        <v>0</v>
      </c>
      <c r="F19" s="265">
        <v>0</v>
      </c>
      <c r="G19" s="215">
        <v>694.67693337797118</v>
      </c>
      <c r="H19" s="216">
        <v>343.18184602486792</v>
      </c>
      <c r="I19" s="215">
        <f t="shared" si="1"/>
        <v>351.49508735310326</v>
      </c>
      <c r="J19" s="217">
        <v>121</v>
      </c>
      <c r="K19" s="217">
        <v>97</v>
      </c>
      <c r="L19" s="218">
        <f t="shared" si="0"/>
        <v>218</v>
      </c>
    </row>
    <row r="20" spans="1:12" x14ac:dyDescent="0.2">
      <c r="A20" s="151"/>
      <c r="B20" s="73" t="s">
        <v>279</v>
      </c>
      <c r="C20" s="73" t="s">
        <v>148</v>
      </c>
      <c r="D20" s="73" t="s">
        <v>388</v>
      </c>
      <c r="E20" s="264">
        <v>0</v>
      </c>
      <c r="F20" s="265">
        <v>0</v>
      </c>
      <c r="G20" s="215">
        <v>862.06896551724151</v>
      </c>
      <c r="H20" s="216">
        <v>343.18184602486792</v>
      </c>
      <c r="I20" s="215">
        <f t="shared" si="1"/>
        <v>518.88711949237359</v>
      </c>
      <c r="J20" s="217">
        <v>121</v>
      </c>
      <c r="K20" s="217">
        <v>97</v>
      </c>
      <c r="L20" s="218">
        <f t="shared" si="0"/>
        <v>218</v>
      </c>
    </row>
    <row r="21" spans="1:12" x14ac:dyDescent="0.2">
      <c r="A21" s="151"/>
      <c r="B21" s="73" t="s">
        <v>280</v>
      </c>
      <c r="C21" s="73" t="s">
        <v>148</v>
      </c>
      <c r="D21" s="73" t="s">
        <v>388</v>
      </c>
      <c r="E21" s="264">
        <v>0</v>
      </c>
      <c r="F21" s="265">
        <v>0</v>
      </c>
      <c r="G21" s="215">
        <v>694.67693337797118</v>
      </c>
      <c r="H21" s="216">
        <v>343.18184602486792</v>
      </c>
      <c r="I21" s="215">
        <f t="shared" si="1"/>
        <v>351.49508735310326</v>
      </c>
      <c r="J21" s="217">
        <v>121</v>
      </c>
      <c r="K21" s="217">
        <v>97</v>
      </c>
      <c r="L21" s="218">
        <f t="shared" si="0"/>
        <v>218</v>
      </c>
    </row>
    <row r="22" spans="1:12" x14ac:dyDescent="0.2">
      <c r="A22" s="151"/>
      <c r="B22" s="73" t="s">
        <v>281</v>
      </c>
      <c r="C22" s="73" t="s">
        <v>148</v>
      </c>
      <c r="D22" s="73" t="s">
        <v>388</v>
      </c>
      <c r="E22" s="264">
        <v>0</v>
      </c>
      <c r="F22" s="265">
        <v>0</v>
      </c>
      <c r="G22" s="215">
        <v>778.37294944760629</v>
      </c>
      <c r="H22" s="216">
        <v>343.18184602486792</v>
      </c>
      <c r="I22" s="215">
        <f t="shared" si="1"/>
        <v>435.19110342273837</v>
      </c>
      <c r="J22" s="217">
        <v>121</v>
      </c>
      <c r="K22" s="217">
        <v>97</v>
      </c>
      <c r="L22" s="218">
        <f t="shared" si="0"/>
        <v>218</v>
      </c>
    </row>
    <row r="23" spans="1:12" x14ac:dyDescent="0.2">
      <c r="A23" s="151"/>
      <c r="B23" s="73" t="s">
        <v>282</v>
      </c>
      <c r="C23" s="73" t="s">
        <v>148</v>
      </c>
      <c r="D23" s="73" t="s">
        <v>388</v>
      </c>
      <c r="E23" s="264">
        <v>0</v>
      </c>
      <c r="F23" s="265">
        <v>0</v>
      </c>
      <c r="G23" s="215">
        <v>778.37294944760629</v>
      </c>
      <c r="H23" s="216">
        <v>343.18184602486792</v>
      </c>
      <c r="I23" s="215">
        <f t="shared" si="1"/>
        <v>435.19110342273837</v>
      </c>
      <c r="J23" s="217">
        <v>121</v>
      </c>
      <c r="K23" s="217">
        <v>97</v>
      </c>
      <c r="L23" s="218">
        <f t="shared" si="0"/>
        <v>218</v>
      </c>
    </row>
    <row r="24" spans="1:12" x14ac:dyDescent="0.2">
      <c r="A24" s="151"/>
      <c r="B24" s="73" t="s">
        <v>283</v>
      </c>
      <c r="C24" s="73" t="s">
        <v>148</v>
      </c>
      <c r="D24" s="73" t="s">
        <v>388</v>
      </c>
      <c r="E24" s="264">
        <v>0</v>
      </c>
      <c r="F24" s="265">
        <v>0</v>
      </c>
      <c r="G24" s="215">
        <v>862.06896551724151</v>
      </c>
      <c r="H24" s="216">
        <v>343.18184602486792</v>
      </c>
      <c r="I24" s="215">
        <f t="shared" si="1"/>
        <v>518.88711949237359</v>
      </c>
      <c r="J24" s="217">
        <v>121</v>
      </c>
      <c r="K24" s="217">
        <v>97</v>
      </c>
      <c r="L24" s="218">
        <f t="shared" si="0"/>
        <v>218</v>
      </c>
    </row>
    <row r="25" spans="1:12" x14ac:dyDescent="0.2">
      <c r="A25" s="151"/>
      <c r="B25" s="73" t="s">
        <v>284</v>
      </c>
      <c r="C25" s="73" t="s">
        <v>148</v>
      </c>
      <c r="D25" s="73" t="s">
        <v>388</v>
      </c>
      <c r="E25" s="264">
        <v>0</v>
      </c>
      <c r="F25" s="265">
        <v>0</v>
      </c>
      <c r="G25" s="215">
        <v>569.13290927351864</v>
      </c>
      <c r="H25" s="216">
        <v>343.18184602486792</v>
      </c>
      <c r="I25" s="215">
        <f t="shared" si="1"/>
        <v>225.95106324865071</v>
      </c>
      <c r="J25" s="217">
        <v>121</v>
      </c>
      <c r="K25" s="217">
        <v>97</v>
      </c>
      <c r="L25" s="218">
        <f t="shared" si="0"/>
        <v>218</v>
      </c>
    </row>
    <row r="26" spans="1:12" x14ac:dyDescent="0.2">
      <c r="A26" s="151"/>
      <c r="B26" s="73" t="s">
        <v>285</v>
      </c>
      <c r="C26" s="73" t="s">
        <v>148</v>
      </c>
      <c r="D26" s="73" t="s">
        <v>388</v>
      </c>
      <c r="E26" s="264">
        <v>0</v>
      </c>
      <c r="F26" s="265">
        <v>0</v>
      </c>
      <c r="G26" s="215">
        <v>652.82892534315374</v>
      </c>
      <c r="H26" s="216">
        <v>343.18184602486792</v>
      </c>
      <c r="I26" s="215">
        <f t="shared" si="1"/>
        <v>309.64707931828582</v>
      </c>
      <c r="J26" s="217">
        <v>121</v>
      </c>
      <c r="K26" s="217">
        <v>97</v>
      </c>
      <c r="L26" s="218">
        <f t="shared" si="0"/>
        <v>218</v>
      </c>
    </row>
    <row r="27" spans="1:12" x14ac:dyDescent="0.2">
      <c r="A27" s="151"/>
      <c r="B27" s="73" t="s">
        <v>286</v>
      </c>
      <c r="C27" s="73" t="s">
        <v>385</v>
      </c>
      <c r="D27" s="73" t="s">
        <v>388</v>
      </c>
      <c r="E27" s="264">
        <v>0</v>
      </c>
      <c r="F27" s="265">
        <v>0</v>
      </c>
      <c r="G27" s="215">
        <v>610.98091730833619</v>
      </c>
      <c r="H27" s="216">
        <v>343.18184602486792</v>
      </c>
      <c r="I27" s="215">
        <f t="shared" si="1"/>
        <v>267.79907128346827</v>
      </c>
      <c r="J27" s="217">
        <v>121</v>
      </c>
      <c r="K27" s="217">
        <v>97</v>
      </c>
      <c r="L27" s="218">
        <f t="shared" si="0"/>
        <v>218</v>
      </c>
    </row>
    <row r="28" spans="1:12" x14ac:dyDescent="0.2">
      <c r="A28" s="151"/>
      <c r="B28" s="73" t="s">
        <v>287</v>
      </c>
      <c r="C28" s="73" t="s">
        <v>385</v>
      </c>
      <c r="D28" s="73" t="s">
        <v>388</v>
      </c>
      <c r="E28" s="264">
        <v>0</v>
      </c>
      <c r="F28" s="265">
        <v>0</v>
      </c>
      <c r="G28" s="215">
        <v>694.67693337797118</v>
      </c>
      <c r="H28" s="216">
        <v>343.18184602486792</v>
      </c>
      <c r="I28" s="215">
        <f t="shared" si="1"/>
        <v>351.49508735310326</v>
      </c>
      <c r="J28" s="217">
        <v>121</v>
      </c>
      <c r="K28" s="217">
        <v>97</v>
      </c>
      <c r="L28" s="218">
        <f t="shared" si="0"/>
        <v>218</v>
      </c>
    </row>
    <row r="29" spans="1:12" x14ac:dyDescent="0.2">
      <c r="A29" s="151"/>
      <c r="B29" s="73" t="s">
        <v>288</v>
      </c>
      <c r="C29" s="73" t="s">
        <v>385</v>
      </c>
      <c r="D29" s="73" t="s">
        <v>388</v>
      </c>
      <c r="E29" s="264">
        <v>0</v>
      </c>
      <c r="F29" s="265">
        <v>0</v>
      </c>
      <c r="G29" s="215">
        <v>862.06896551724151</v>
      </c>
      <c r="H29" s="216">
        <v>343.18184602486792</v>
      </c>
      <c r="I29" s="215">
        <f t="shared" si="1"/>
        <v>518.88711949237359</v>
      </c>
      <c r="J29" s="217">
        <v>121</v>
      </c>
      <c r="K29" s="217">
        <v>97</v>
      </c>
      <c r="L29" s="218">
        <f t="shared" si="0"/>
        <v>218</v>
      </c>
    </row>
    <row r="30" spans="1:12" x14ac:dyDescent="0.2">
      <c r="A30" s="151"/>
      <c r="B30" s="73" t="s">
        <v>289</v>
      </c>
      <c r="C30" s="73" t="s">
        <v>385</v>
      </c>
      <c r="D30" s="73" t="s">
        <v>388</v>
      </c>
      <c r="E30" s="264">
        <v>0</v>
      </c>
      <c r="F30" s="265">
        <v>0</v>
      </c>
      <c r="G30" s="215">
        <v>694.67693337797118</v>
      </c>
      <c r="H30" s="216">
        <v>343.18184602486792</v>
      </c>
      <c r="I30" s="215">
        <f t="shared" si="1"/>
        <v>351.49508735310326</v>
      </c>
      <c r="J30" s="217">
        <v>121</v>
      </c>
      <c r="K30" s="217">
        <v>97</v>
      </c>
      <c r="L30" s="218">
        <f t="shared" si="0"/>
        <v>218</v>
      </c>
    </row>
    <row r="31" spans="1:12" x14ac:dyDescent="0.2">
      <c r="A31" s="151"/>
      <c r="B31" s="73" t="s">
        <v>290</v>
      </c>
      <c r="C31" s="73" t="s">
        <v>385</v>
      </c>
      <c r="D31" s="73" t="s">
        <v>388</v>
      </c>
      <c r="E31" s="264">
        <v>0</v>
      </c>
      <c r="F31" s="265">
        <v>0</v>
      </c>
      <c r="G31" s="215">
        <v>778.37294944760629</v>
      </c>
      <c r="H31" s="216">
        <v>343.18184602486792</v>
      </c>
      <c r="I31" s="215">
        <f t="shared" si="1"/>
        <v>435.19110342273837</v>
      </c>
      <c r="J31" s="217">
        <v>121</v>
      </c>
      <c r="K31" s="217">
        <v>97</v>
      </c>
      <c r="L31" s="218">
        <f t="shared" si="0"/>
        <v>218</v>
      </c>
    </row>
    <row r="32" spans="1:12" x14ac:dyDescent="0.2">
      <c r="A32" s="151"/>
      <c r="B32" s="73" t="s">
        <v>291</v>
      </c>
      <c r="C32" s="73" t="s">
        <v>385</v>
      </c>
      <c r="D32" s="73" t="s">
        <v>388</v>
      </c>
      <c r="E32" s="264">
        <v>0</v>
      </c>
      <c r="F32" s="265">
        <v>0</v>
      </c>
      <c r="G32" s="215">
        <v>778.37294944760629</v>
      </c>
      <c r="H32" s="216">
        <v>343.18184602486792</v>
      </c>
      <c r="I32" s="215">
        <f t="shared" si="1"/>
        <v>435.19110342273837</v>
      </c>
      <c r="J32" s="217">
        <v>121</v>
      </c>
      <c r="K32" s="217">
        <v>97</v>
      </c>
      <c r="L32" s="218">
        <f t="shared" si="0"/>
        <v>218</v>
      </c>
    </row>
    <row r="33" spans="1:12" x14ac:dyDescent="0.2">
      <c r="A33" s="151"/>
      <c r="B33" s="73" t="s">
        <v>292</v>
      </c>
      <c r="C33" s="73" t="s">
        <v>385</v>
      </c>
      <c r="D33" s="73" t="s">
        <v>388</v>
      </c>
      <c r="E33" s="264">
        <v>0</v>
      </c>
      <c r="F33" s="265">
        <v>0</v>
      </c>
      <c r="G33" s="215">
        <v>862.06896551724151</v>
      </c>
      <c r="H33" s="216">
        <v>343.18184602486792</v>
      </c>
      <c r="I33" s="215">
        <f t="shared" si="1"/>
        <v>518.88711949237359</v>
      </c>
      <c r="J33" s="217">
        <v>121</v>
      </c>
      <c r="K33" s="217">
        <v>97</v>
      </c>
      <c r="L33" s="218">
        <f t="shared" si="0"/>
        <v>218</v>
      </c>
    </row>
    <row r="34" spans="1:12" x14ac:dyDescent="0.2">
      <c r="A34" s="151"/>
      <c r="B34" s="73" t="s">
        <v>293</v>
      </c>
      <c r="C34" s="73" t="s">
        <v>385</v>
      </c>
      <c r="D34" s="73" t="s">
        <v>388</v>
      </c>
      <c r="E34" s="264">
        <v>0</v>
      </c>
      <c r="F34" s="265">
        <v>0</v>
      </c>
      <c r="G34" s="215">
        <v>569.13290927351864</v>
      </c>
      <c r="H34" s="216">
        <v>343.18184602486792</v>
      </c>
      <c r="I34" s="215">
        <f t="shared" si="1"/>
        <v>225.95106324865071</v>
      </c>
      <c r="J34" s="217">
        <v>121</v>
      </c>
      <c r="K34" s="217">
        <v>97</v>
      </c>
      <c r="L34" s="218">
        <f t="shared" si="0"/>
        <v>218</v>
      </c>
    </row>
    <row r="35" spans="1:12" x14ac:dyDescent="0.2">
      <c r="A35" s="151"/>
      <c r="B35" s="73" t="s">
        <v>294</v>
      </c>
      <c r="C35" s="73" t="s">
        <v>385</v>
      </c>
      <c r="D35" s="73" t="s">
        <v>388</v>
      </c>
      <c r="E35" s="264">
        <v>0</v>
      </c>
      <c r="F35" s="265">
        <v>0</v>
      </c>
      <c r="G35" s="215">
        <v>652.82892534315374</v>
      </c>
      <c r="H35" s="216">
        <v>343.18184602486792</v>
      </c>
      <c r="I35" s="215">
        <f t="shared" si="1"/>
        <v>309.64707931828582</v>
      </c>
      <c r="J35" s="217">
        <v>121</v>
      </c>
      <c r="K35" s="217">
        <v>97</v>
      </c>
      <c r="L35" s="218">
        <f t="shared" si="0"/>
        <v>218</v>
      </c>
    </row>
    <row r="36" spans="1:12" x14ac:dyDescent="0.2">
      <c r="A36" s="151"/>
      <c r="B36" s="73" t="s">
        <v>295</v>
      </c>
      <c r="C36" s="73" t="s">
        <v>385</v>
      </c>
      <c r="D36" s="73" t="s">
        <v>386</v>
      </c>
      <c r="E36" s="264">
        <v>17</v>
      </c>
      <c r="F36" s="265">
        <v>1E-4</v>
      </c>
      <c r="G36" s="215">
        <v>569.13290927351864</v>
      </c>
      <c r="H36" s="216">
        <v>300.46869768999005</v>
      </c>
      <c r="I36" s="215">
        <f t="shared" si="1"/>
        <v>268.66421158352858</v>
      </c>
      <c r="J36" s="217">
        <v>153</v>
      </c>
      <c r="K36" s="217">
        <v>0</v>
      </c>
      <c r="L36" s="218">
        <f t="shared" si="0"/>
        <v>153</v>
      </c>
    </row>
    <row r="37" spans="1:12" x14ac:dyDescent="0.2">
      <c r="A37" s="151"/>
      <c r="B37" s="73" t="s">
        <v>296</v>
      </c>
      <c r="C37" s="73" t="s">
        <v>385</v>
      </c>
      <c r="D37" s="73" t="s">
        <v>386</v>
      </c>
      <c r="E37" s="264">
        <v>0</v>
      </c>
      <c r="F37" s="265">
        <v>0</v>
      </c>
      <c r="G37" s="215">
        <v>652.82892534315374</v>
      </c>
      <c r="H37" s="216">
        <v>300.46869768999005</v>
      </c>
      <c r="I37" s="215">
        <f t="shared" si="1"/>
        <v>352.36022765316369</v>
      </c>
      <c r="J37" s="217">
        <v>153</v>
      </c>
      <c r="K37" s="217">
        <v>0</v>
      </c>
      <c r="L37" s="218">
        <f t="shared" si="0"/>
        <v>153</v>
      </c>
    </row>
    <row r="38" spans="1:12" x14ac:dyDescent="0.2">
      <c r="A38" s="151"/>
      <c r="B38" s="73" t="s">
        <v>297</v>
      </c>
      <c r="C38" s="73" t="s">
        <v>385</v>
      </c>
      <c r="D38" s="73" t="s">
        <v>386</v>
      </c>
      <c r="E38" s="264">
        <v>11</v>
      </c>
      <c r="F38" s="265">
        <v>1E-4</v>
      </c>
      <c r="G38" s="215">
        <v>820.22095748242384</v>
      </c>
      <c r="H38" s="216">
        <v>300.46869768999005</v>
      </c>
      <c r="I38" s="215">
        <f t="shared" si="1"/>
        <v>519.75225979243373</v>
      </c>
      <c r="J38" s="217">
        <v>153</v>
      </c>
      <c r="K38" s="217">
        <v>0</v>
      </c>
      <c r="L38" s="218">
        <f t="shared" si="0"/>
        <v>153</v>
      </c>
    </row>
    <row r="39" spans="1:12" x14ac:dyDescent="0.2">
      <c r="A39" s="151"/>
      <c r="B39" s="73" t="s">
        <v>298</v>
      </c>
      <c r="C39" s="73" t="s">
        <v>385</v>
      </c>
      <c r="D39" s="73" t="s">
        <v>386</v>
      </c>
      <c r="E39" s="264">
        <v>83</v>
      </c>
      <c r="F39" s="265">
        <v>4.0000000000000002E-4</v>
      </c>
      <c r="G39" s="215">
        <v>652.82892534315374</v>
      </c>
      <c r="H39" s="216">
        <v>300.46869768999005</v>
      </c>
      <c r="I39" s="215">
        <f t="shared" si="1"/>
        <v>352.36022765316369</v>
      </c>
      <c r="J39" s="217">
        <v>153</v>
      </c>
      <c r="K39" s="217">
        <v>0</v>
      </c>
      <c r="L39" s="218">
        <f t="shared" si="0"/>
        <v>153</v>
      </c>
    </row>
    <row r="40" spans="1:12" x14ac:dyDescent="0.2">
      <c r="A40" s="151"/>
      <c r="B40" s="73" t="s">
        <v>299</v>
      </c>
      <c r="C40" s="73" t="s">
        <v>385</v>
      </c>
      <c r="D40" s="73" t="s">
        <v>386</v>
      </c>
      <c r="E40" s="264">
        <v>0</v>
      </c>
      <c r="F40" s="265">
        <v>0</v>
      </c>
      <c r="G40" s="215">
        <v>736.52494141278873</v>
      </c>
      <c r="H40" s="216">
        <v>300.46869768999005</v>
      </c>
      <c r="I40" s="215">
        <f t="shared" si="1"/>
        <v>436.05624372279868</v>
      </c>
      <c r="J40" s="217">
        <v>153</v>
      </c>
      <c r="K40" s="217">
        <v>0</v>
      </c>
      <c r="L40" s="218">
        <f t="shared" si="0"/>
        <v>153</v>
      </c>
    </row>
    <row r="41" spans="1:12" x14ac:dyDescent="0.2">
      <c r="A41" s="151"/>
      <c r="B41" s="73" t="s">
        <v>300</v>
      </c>
      <c r="C41" s="73" t="s">
        <v>385</v>
      </c>
      <c r="D41" s="73" t="s">
        <v>386</v>
      </c>
      <c r="E41" s="264">
        <v>14</v>
      </c>
      <c r="F41" s="265">
        <v>1E-4</v>
      </c>
      <c r="G41" s="215">
        <v>736.52494141278873</v>
      </c>
      <c r="H41" s="216">
        <v>300.46869768999005</v>
      </c>
      <c r="I41" s="215">
        <f t="shared" si="1"/>
        <v>436.05624372279868</v>
      </c>
      <c r="J41" s="217">
        <v>153</v>
      </c>
      <c r="K41" s="217">
        <v>0</v>
      </c>
      <c r="L41" s="218">
        <f t="shared" si="0"/>
        <v>153</v>
      </c>
    </row>
    <row r="42" spans="1:12" x14ac:dyDescent="0.2">
      <c r="A42" s="151"/>
      <c r="B42" s="73" t="s">
        <v>301</v>
      </c>
      <c r="C42" s="73" t="s">
        <v>385</v>
      </c>
      <c r="D42" s="73" t="s">
        <v>386</v>
      </c>
      <c r="E42" s="264">
        <v>0</v>
      </c>
      <c r="F42" s="265">
        <v>0</v>
      </c>
      <c r="G42" s="215">
        <v>820.22095748242384</v>
      </c>
      <c r="H42" s="216">
        <v>300.46869768999005</v>
      </c>
      <c r="I42" s="215">
        <f t="shared" si="1"/>
        <v>519.75225979243373</v>
      </c>
      <c r="J42" s="217">
        <v>153</v>
      </c>
      <c r="K42" s="217">
        <v>0</v>
      </c>
      <c r="L42" s="218">
        <f t="shared" si="0"/>
        <v>153</v>
      </c>
    </row>
    <row r="43" spans="1:12" x14ac:dyDescent="0.2">
      <c r="A43" s="151"/>
      <c r="B43" s="73" t="s">
        <v>302</v>
      </c>
      <c r="C43" s="73" t="s">
        <v>385</v>
      </c>
      <c r="D43" s="73" t="s">
        <v>386</v>
      </c>
      <c r="E43" s="264">
        <v>312</v>
      </c>
      <c r="F43" s="265">
        <v>6.9999999999999999E-4</v>
      </c>
      <c r="G43" s="215">
        <v>569.13290927351864</v>
      </c>
      <c r="H43" s="216">
        <v>300.46869768999005</v>
      </c>
      <c r="I43" s="215">
        <f t="shared" si="1"/>
        <v>268.66421158352858</v>
      </c>
      <c r="J43" s="217">
        <v>153</v>
      </c>
      <c r="K43" s="217">
        <v>0</v>
      </c>
      <c r="L43" s="218">
        <f t="shared" si="0"/>
        <v>153</v>
      </c>
    </row>
    <row r="44" spans="1:12" x14ac:dyDescent="0.2">
      <c r="A44" s="151"/>
      <c r="B44" s="73" t="s">
        <v>303</v>
      </c>
      <c r="C44" s="73" t="s">
        <v>385</v>
      </c>
      <c r="D44" s="73" t="s">
        <v>386</v>
      </c>
      <c r="E44" s="264">
        <v>0</v>
      </c>
      <c r="F44" s="265">
        <v>0</v>
      </c>
      <c r="G44" s="215">
        <v>652.82892534315374</v>
      </c>
      <c r="H44" s="216">
        <v>300.46869768999005</v>
      </c>
      <c r="I44" s="215">
        <f t="shared" si="1"/>
        <v>352.36022765316369</v>
      </c>
      <c r="J44" s="217">
        <v>153</v>
      </c>
      <c r="K44" s="217">
        <v>0</v>
      </c>
      <c r="L44" s="218">
        <f t="shared" si="0"/>
        <v>153</v>
      </c>
    </row>
    <row r="45" spans="1:12" x14ac:dyDescent="0.2">
      <c r="A45" s="151"/>
      <c r="B45" s="73" t="s">
        <v>304</v>
      </c>
      <c r="C45" s="73" t="s">
        <v>148</v>
      </c>
      <c r="D45" s="73" t="s">
        <v>388</v>
      </c>
      <c r="E45" s="264">
        <v>7310</v>
      </c>
      <c r="F45" s="265">
        <v>2.1299999999999999E-2</v>
      </c>
      <c r="G45" s="215">
        <v>652.82892534315374</v>
      </c>
      <c r="H45" s="216">
        <v>343.7719840137359</v>
      </c>
      <c r="I45" s="215">
        <f t="shared" si="1"/>
        <v>309.05694132941784</v>
      </c>
      <c r="J45" s="217">
        <v>121.44444444444444</v>
      </c>
      <c r="K45" s="217">
        <v>97</v>
      </c>
      <c r="L45" s="218">
        <f t="shared" si="0"/>
        <v>218.44444444444446</v>
      </c>
    </row>
    <row r="46" spans="1:12" x14ac:dyDescent="0.2">
      <c r="A46" s="151"/>
      <c r="B46" s="73" t="s">
        <v>305</v>
      </c>
      <c r="C46" s="73" t="s">
        <v>148</v>
      </c>
      <c r="D46" s="73" t="s">
        <v>388</v>
      </c>
      <c r="E46" s="264">
        <v>12</v>
      </c>
      <c r="F46" s="265">
        <v>1E-4</v>
      </c>
      <c r="G46" s="215">
        <v>736.52494141278873</v>
      </c>
      <c r="H46" s="216">
        <v>343.18184602486792</v>
      </c>
      <c r="I46" s="215">
        <f t="shared" si="1"/>
        <v>393.34309538792081</v>
      </c>
      <c r="J46" s="217">
        <v>121</v>
      </c>
      <c r="K46" s="217">
        <v>97</v>
      </c>
      <c r="L46" s="218">
        <f t="shared" si="0"/>
        <v>218</v>
      </c>
    </row>
    <row r="47" spans="1:12" x14ac:dyDescent="0.2">
      <c r="A47" s="151"/>
      <c r="B47" s="73" t="s">
        <v>306</v>
      </c>
      <c r="C47" s="73" t="s">
        <v>148</v>
      </c>
      <c r="D47" s="73" t="s">
        <v>388</v>
      </c>
      <c r="E47" s="264">
        <v>2023</v>
      </c>
      <c r="F47" s="265">
        <v>9.9000000000000008E-3</v>
      </c>
      <c r="G47" s="215">
        <v>903.91697355205895</v>
      </c>
      <c r="H47" s="216">
        <v>343.18184602486792</v>
      </c>
      <c r="I47" s="215">
        <f t="shared" si="1"/>
        <v>560.73512752719103</v>
      </c>
      <c r="J47" s="217">
        <v>121</v>
      </c>
      <c r="K47" s="217">
        <v>97</v>
      </c>
      <c r="L47" s="218">
        <f t="shared" si="0"/>
        <v>218</v>
      </c>
    </row>
    <row r="48" spans="1:12" x14ac:dyDescent="0.2">
      <c r="A48" s="151"/>
      <c r="B48" s="73" t="s">
        <v>307</v>
      </c>
      <c r="C48" s="73" t="s">
        <v>148</v>
      </c>
      <c r="D48" s="73" t="s">
        <v>388</v>
      </c>
      <c r="E48" s="264">
        <v>23029</v>
      </c>
      <c r="F48" s="265">
        <v>5.5599999999999997E-2</v>
      </c>
      <c r="G48" s="215">
        <v>736.52494141278873</v>
      </c>
      <c r="H48" s="216">
        <v>343.18184602486792</v>
      </c>
      <c r="I48" s="215">
        <f t="shared" si="1"/>
        <v>393.34309538792081</v>
      </c>
      <c r="J48" s="217">
        <v>121</v>
      </c>
      <c r="K48" s="217">
        <v>97</v>
      </c>
      <c r="L48" s="218">
        <f t="shared" si="0"/>
        <v>218</v>
      </c>
    </row>
    <row r="49" spans="1:12" x14ac:dyDescent="0.2">
      <c r="A49" s="151"/>
      <c r="B49" s="73" t="s">
        <v>308</v>
      </c>
      <c r="C49" s="73" t="s">
        <v>148</v>
      </c>
      <c r="D49" s="73" t="s">
        <v>388</v>
      </c>
      <c r="E49" s="264">
        <v>2</v>
      </c>
      <c r="F49" s="265">
        <v>1E-4</v>
      </c>
      <c r="G49" s="215">
        <v>820.22095748242384</v>
      </c>
      <c r="H49" s="216">
        <v>343.18184602486792</v>
      </c>
      <c r="I49" s="215">
        <f t="shared" si="1"/>
        <v>477.03911145755592</v>
      </c>
      <c r="J49" s="217">
        <v>121</v>
      </c>
      <c r="K49" s="217">
        <v>97</v>
      </c>
      <c r="L49" s="218">
        <f t="shared" si="0"/>
        <v>218</v>
      </c>
    </row>
    <row r="50" spans="1:12" x14ac:dyDescent="0.2">
      <c r="A50" s="151"/>
      <c r="B50" s="73" t="s">
        <v>309</v>
      </c>
      <c r="C50" s="73" t="s">
        <v>148</v>
      </c>
      <c r="D50" s="73" t="s">
        <v>388</v>
      </c>
      <c r="E50" s="264">
        <v>2122</v>
      </c>
      <c r="F50" s="265">
        <v>1.2200000000000001E-2</v>
      </c>
      <c r="G50" s="215">
        <v>820.22095748242384</v>
      </c>
      <c r="H50" s="216">
        <v>343.18184602486792</v>
      </c>
      <c r="I50" s="215">
        <f t="shared" si="1"/>
        <v>477.03911145755592</v>
      </c>
      <c r="J50" s="217">
        <v>121</v>
      </c>
      <c r="K50" s="217">
        <v>97</v>
      </c>
      <c r="L50" s="218">
        <f t="shared" si="0"/>
        <v>218</v>
      </c>
    </row>
    <row r="51" spans="1:12" x14ac:dyDescent="0.2">
      <c r="A51" s="151"/>
      <c r="B51" s="73" t="s">
        <v>310</v>
      </c>
      <c r="C51" s="73" t="s">
        <v>148</v>
      </c>
      <c r="D51" s="73" t="s">
        <v>388</v>
      </c>
      <c r="E51" s="264">
        <v>12</v>
      </c>
      <c r="F51" s="265">
        <v>1E-4</v>
      </c>
      <c r="G51" s="215">
        <v>903.91697355205895</v>
      </c>
      <c r="H51" s="216">
        <v>343.18184602486792</v>
      </c>
      <c r="I51" s="215">
        <f t="shared" si="1"/>
        <v>560.73512752719103</v>
      </c>
      <c r="J51" s="217">
        <v>121</v>
      </c>
      <c r="K51" s="217">
        <v>97</v>
      </c>
      <c r="L51" s="218">
        <f t="shared" si="0"/>
        <v>218</v>
      </c>
    </row>
    <row r="52" spans="1:12" x14ac:dyDescent="0.2">
      <c r="A52" s="151"/>
      <c r="B52" s="73" t="s">
        <v>311</v>
      </c>
      <c r="C52" s="73" t="s">
        <v>148</v>
      </c>
      <c r="D52" s="73" t="s">
        <v>388</v>
      </c>
      <c r="E52" s="264">
        <v>24726</v>
      </c>
      <c r="F52" s="265">
        <v>6.3500000000000001E-2</v>
      </c>
      <c r="G52" s="215">
        <v>569.13290927351864</v>
      </c>
      <c r="H52" s="216">
        <v>343.18184602486792</v>
      </c>
      <c r="I52" s="215">
        <f t="shared" si="1"/>
        <v>225.95106324865071</v>
      </c>
      <c r="J52" s="217">
        <v>121</v>
      </c>
      <c r="K52" s="217">
        <v>97</v>
      </c>
      <c r="L52" s="218">
        <f t="shared" si="0"/>
        <v>218</v>
      </c>
    </row>
    <row r="53" spans="1:12" x14ac:dyDescent="0.2">
      <c r="A53" s="151"/>
      <c r="B53" s="73" t="s">
        <v>312</v>
      </c>
      <c r="C53" s="73" t="s">
        <v>148</v>
      </c>
      <c r="D53" s="73" t="s">
        <v>388</v>
      </c>
      <c r="E53" s="264">
        <v>9</v>
      </c>
      <c r="F53" s="265">
        <v>1E-4</v>
      </c>
      <c r="G53" s="215">
        <v>652.82892534315374</v>
      </c>
      <c r="H53" s="216">
        <v>343.18184602486792</v>
      </c>
      <c r="I53" s="215">
        <f t="shared" si="1"/>
        <v>309.64707931828582</v>
      </c>
      <c r="J53" s="217">
        <v>121</v>
      </c>
      <c r="K53" s="217">
        <v>97</v>
      </c>
      <c r="L53" s="218">
        <f t="shared" si="0"/>
        <v>218</v>
      </c>
    </row>
    <row r="54" spans="1:12" x14ac:dyDescent="0.2">
      <c r="A54" s="151"/>
      <c r="B54" s="73" t="s">
        <v>313</v>
      </c>
      <c r="C54" s="73" t="s">
        <v>385</v>
      </c>
      <c r="D54" s="73" t="s">
        <v>388</v>
      </c>
      <c r="E54" s="264">
        <v>321</v>
      </c>
      <c r="F54" s="265">
        <v>1.9E-3</v>
      </c>
      <c r="G54" s="215">
        <v>652.82892534315374</v>
      </c>
      <c r="H54" s="216">
        <v>343.18184602486792</v>
      </c>
      <c r="I54" s="215">
        <f t="shared" si="1"/>
        <v>309.64707931828582</v>
      </c>
      <c r="J54" s="217">
        <v>121</v>
      </c>
      <c r="K54" s="217">
        <v>97</v>
      </c>
      <c r="L54" s="218">
        <f t="shared" si="0"/>
        <v>218</v>
      </c>
    </row>
    <row r="55" spans="1:12" x14ac:dyDescent="0.2">
      <c r="A55" s="151"/>
      <c r="B55" s="73" t="s">
        <v>314</v>
      </c>
      <c r="C55" s="73" t="s">
        <v>385</v>
      </c>
      <c r="D55" s="73" t="s">
        <v>388</v>
      </c>
      <c r="E55" s="264">
        <v>1</v>
      </c>
      <c r="F55" s="265">
        <v>1E-4</v>
      </c>
      <c r="G55" s="215">
        <v>736.52494141278873</v>
      </c>
      <c r="H55" s="216">
        <v>343.18184602486792</v>
      </c>
      <c r="I55" s="215">
        <f t="shared" si="1"/>
        <v>393.34309538792081</v>
      </c>
      <c r="J55" s="217">
        <v>121</v>
      </c>
      <c r="K55" s="217">
        <v>97</v>
      </c>
      <c r="L55" s="218">
        <f t="shared" si="0"/>
        <v>218</v>
      </c>
    </row>
    <row r="56" spans="1:12" x14ac:dyDescent="0.2">
      <c r="A56" s="151"/>
      <c r="B56" s="73" t="s">
        <v>315</v>
      </c>
      <c r="C56" s="73" t="s">
        <v>385</v>
      </c>
      <c r="D56" s="73" t="s">
        <v>388</v>
      </c>
      <c r="E56" s="264">
        <v>34</v>
      </c>
      <c r="F56" s="265">
        <v>1E-4</v>
      </c>
      <c r="G56" s="215">
        <v>903.91697355205895</v>
      </c>
      <c r="H56" s="216">
        <v>343.18184602486792</v>
      </c>
      <c r="I56" s="215">
        <f t="shared" si="1"/>
        <v>560.73512752719103</v>
      </c>
      <c r="J56" s="217">
        <v>121</v>
      </c>
      <c r="K56" s="217">
        <v>97</v>
      </c>
      <c r="L56" s="218">
        <f t="shared" si="0"/>
        <v>218</v>
      </c>
    </row>
    <row r="57" spans="1:12" x14ac:dyDescent="0.2">
      <c r="A57" s="151"/>
      <c r="B57" s="73" t="s">
        <v>316</v>
      </c>
      <c r="C57" s="73" t="s">
        <v>385</v>
      </c>
      <c r="D57" s="73" t="s">
        <v>388</v>
      </c>
      <c r="E57" s="264">
        <v>347</v>
      </c>
      <c r="F57" s="265">
        <v>2E-3</v>
      </c>
      <c r="G57" s="215">
        <v>736.52494141278873</v>
      </c>
      <c r="H57" s="216">
        <v>343.18184602486792</v>
      </c>
      <c r="I57" s="215">
        <f t="shared" si="1"/>
        <v>393.34309538792081</v>
      </c>
      <c r="J57" s="217">
        <v>121</v>
      </c>
      <c r="K57" s="217">
        <v>97</v>
      </c>
      <c r="L57" s="218">
        <f t="shared" si="0"/>
        <v>218</v>
      </c>
    </row>
    <row r="58" spans="1:12" x14ac:dyDescent="0.2">
      <c r="A58" s="151"/>
      <c r="B58" s="73" t="s">
        <v>317</v>
      </c>
      <c r="C58" s="73" t="s">
        <v>385</v>
      </c>
      <c r="D58" s="73" t="s">
        <v>388</v>
      </c>
      <c r="E58" s="264">
        <v>3</v>
      </c>
      <c r="F58" s="265">
        <v>1E-4</v>
      </c>
      <c r="G58" s="215">
        <v>820.22095748242384</v>
      </c>
      <c r="H58" s="216">
        <v>343.18184602486792</v>
      </c>
      <c r="I58" s="215">
        <f t="shared" si="1"/>
        <v>477.03911145755592</v>
      </c>
      <c r="J58" s="217">
        <v>121</v>
      </c>
      <c r="K58" s="217">
        <v>97</v>
      </c>
      <c r="L58" s="218">
        <f t="shared" si="0"/>
        <v>218</v>
      </c>
    </row>
    <row r="59" spans="1:12" x14ac:dyDescent="0.2">
      <c r="A59" s="151"/>
      <c r="B59" s="73" t="s">
        <v>318</v>
      </c>
      <c r="C59" s="73" t="s">
        <v>385</v>
      </c>
      <c r="D59" s="73" t="s">
        <v>388</v>
      </c>
      <c r="E59" s="264">
        <v>185</v>
      </c>
      <c r="F59" s="265">
        <v>1E-3</v>
      </c>
      <c r="G59" s="215">
        <v>820.22095748242384</v>
      </c>
      <c r="H59" s="216">
        <v>343.18184602486792</v>
      </c>
      <c r="I59" s="215">
        <f t="shared" si="1"/>
        <v>477.03911145755592</v>
      </c>
      <c r="J59" s="217">
        <v>121</v>
      </c>
      <c r="K59" s="217">
        <v>97</v>
      </c>
      <c r="L59" s="218">
        <f t="shared" si="0"/>
        <v>218</v>
      </c>
    </row>
    <row r="60" spans="1:12" x14ac:dyDescent="0.2">
      <c r="A60" s="151"/>
      <c r="B60" s="73" t="s">
        <v>319</v>
      </c>
      <c r="C60" s="73" t="s">
        <v>385</v>
      </c>
      <c r="D60" s="73" t="s">
        <v>388</v>
      </c>
      <c r="E60" s="264">
        <v>4</v>
      </c>
      <c r="F60" s="265">
        <v>1E-4</v>
      </c>
      <c r="G60" s="215">
        <v>903.91697355205895</v>
      </c>
      <c r="H60" s="216">
        <v>343.18184602486792</v>
      </c>
      <c r="I60" s="215">
        <f t="shared" si="1"/>
        <v>560.73512752719103</v>
      </c>
      <c r="J60" s="217">
        <v>121</v>
      </c>
      <c r="K60" s="217">
        <v>97</v>
      </c>
      <c r="L60" s="218">
        <f t="shared" si="0"/>
        <v>218</v>
      </c>
    </row>
    <row r="61" spans="1:12" x14ac:dyDescent="0.2">
      <c r="A61" s="151"/>
      <c r="B61" s="73" t="s">
        <v>320</v>
      </c>
      <c r="C61" s="73" t="s">
        <v>385</v>
      </c>
      <c r="D61" s="73" t="s">
        <v>388</v>
      </c>
      <c r="E61" s="264">
        <v>556</v>
      </c>
      <c r="F61" s="265">
        <v>1.8E-3</v>
      </c>
      <c r="G61" s="215">
        <v>569.13290927351864</v>
      </c>
      <c r="H61" s="216">
        <v>343.18184602486792</v>
      </c>
      <c r="I61" s="215">
        <f t="shared" si="1"/>
        <v>225.95106324865071</v>
      </c>
      <c r="J61" s="217">
        <v>121</v>
      </c>
      <c r="K61" s="217">
        <v>97</v>
      </c>
      <c r="L61" s="218">
        <f t="shared" si="0"/>
        <v>218</v>
      </c>
    </row>
    <row r="62" spans="1:12" x14ac:dyDescent="0.2">
      <c r="A62" s="151"/>
      <c r="B62" s="73" t="s">
        <v>321</v>
      </c>
      <c r="C62" s="73" t="s">
        <v>385</v>
      </c>
      <c r="D62" s="73" t="s">
        <v>388</v>
      </c>
      <c r="E62" s="264">
        <v>1</v>
      </c>
      <c r="F62" s="265">
        <v>1E-4</v>
      </c>
      <c r="G62" s="215">
        <v>652.82892534315374</v>
      </c>
      <c r="H62" s="216">
        <v>343.18184602486792</v>
      </c>
      <c r="I62" s="215">
        <f t="shared" si="1"/>
        <v>309.64707931828582</v>
      </c>
      <c r="J62" s="217">
        <v>121</v>
      </c>
      <c r="K62" s="217">
        <v>97</v>
      </c>
      <c r="L62" s="218">
        <f t="shared" si="0"/>
        <v>218</v>
      </c>
    </row>
    <row r="63" spans="1:12" x14ac:dyDescent="0.2">
      <c r="A63" s="151"/>
      <c r="B63" s="73" t="s">
        <v>322</v>
      </c>
      <c r="C63" s="73" t="s">
        <v>148</v>
      </c>
      <c r="D63" s="73" t="s">
        <v>387</v>
      </c>
      <c r="E63" s="264">
        <v>195</v>
      </c>
      <c r="F63" s="265">
        <v>1.1999999999999999E-3</v>
      </c>
      <c r="G63" s="215">
        <v>250.25108804820891</v>
      </c>
      <c r="H63" s="216">
        <v>250.25108804820906</v>
      </c>
      <c r="I63" s="215">
        <f t="shared" si="1"/>
        <v>0</v>
      </c>
      <c r="J63" s="217">
        <v>93.857142857142861</v>
      </c>
      <c r="K63" s="217">
        <v>0</v>
      </c>
      <c r="L63" s="218">
        <f t="shared" si="0"/>
        <v>93.857142857142861</v>
      </c>
    </row>
    <row r="64" spans="1:12" x14ac:dyDescent="0.2">
      <c r="A64" s="151"/>
      <c r="B64" s="73" t="s">
        <v>403</v>
      </c>
      <c r="C64" s="73" t="s">
        <v>385</v>
      </c>
      <c r="D64" s="73" t="s">
        <v>387</v>
      </c>
      <c r="E64" s="264">
        <v>39</v>
      </c>
      <c r="F64" s="265">
        <v>1E-4</v>
      </c>
      <c r="G64" s="215">
        <v>250.25108804820891</v>
      </c>
      <c r="H64" s="216">
        <v>250.25108804820906</v>
      </c>
      <c r="I64" s="215">
        <f t="shared" si="1"/>
        <v>0</v>
      </c>
      <c r="J64" s="217">
        <v>93.857142857142861</v>
      </c>
      <c r="K64" s="217">
        <v>0</v>
      </c>
      <c r="L64" s="218">
        <f t="shared" si="0"/>
        <v>93.857142857142861</v>
      </c>
    </row>
    <row r="65" spans="1:12" x14ac:dyDescent="0.2">
      <c r="A65" s="151"/>
      <c r="B65" s="73" t="s">
        <v>323</v>
      </c>
      <c r="C65" s="73" t="s">
        <v>148</v>
      </c>
      <c r="D65" s="73" t="s">
        <v>386</v>
      </c>
      <c r="E65" s="264">
        <v>106</v>
      </c>
      <c r="F65" s="265">
        <v>5.0000000000000001E-4</v>
      </c>
      <c r="G65" s="215">
        <v>502.17609641781053</v>
      </c>
      <c r="H65" s="216">
        <v>250.25108804820906</v>
      </c>
      <c r="I65" s="215">
        <f t="shared" si="1"/>
        <v>251.92500836960147</v>
      </c>
      <c r="J65" s="217">
        <v>93.857142857142861</v>
      </c>
      <c r="K65" s="217">
        <v>0</v>
      </c>
      <c r="L65" s="218">
        <f t="shared" si="0"/>
        <v>93.857142857142861</v>
      </c>
    </row>
    <row r="66" spans="1:12" x14ac:dyDescent="0.2">
      <c r="A66" s="151"/>
      <c r="B66" s="73" t="s">
        <v>324</v>
      </c>
      <c r="C66" s="73" t="s">
        <v>148</v>
      </c>
      <c r="D66" s="73" t="s">
        <v>386</v>
      </c>
      <c r="E66" s="264">
        <v>0</v>
      </c>
      <c r="F66" s="265">
        <v>0</v>
      </c>
      <c r="G66" s="215">
        <v>585.87211248744552</v>
      </c>
      <c r="H66" s="216">
        <v>250.25108804820906</v>
      </c>
      <c r="I66" s="215">
        <f t="shared" si="1"/>
        <v>335.62102443923646</v>
      </c>
      <c r="J66" s="217">
        <v>93.857142857142861</v>
      </c>
      <c r="K66" s="217">
        <v>0</v>
      </c>
      <c r="L66" s="218">
        <f t="shared" si="0"/>
        <v>93.857142857142861</v>
      </c>
    </row>
    <row r="67" spans="1:12" x14ac:dyDescent="0.2">
      <c r="A67" s="151"/>
      <c r="B67" s="73" t="s">
        <v>325</v>
      </c>
      <c r="C67" s="73" t="s">
        <v>148</v>
      </c>
      <c r="D67" s="73" t="s">
        <v>386</v>
      </c>
      <c r="E67" s="264">
        <v>0</v>
      </c>
      <c r="F67" s="265">
        <v>0</v>
      </c>
      <c r="G67" s="215">
        <v>753.26414462671585</v>
      </c>
      <c r="H67" s="216">
        <v>250.25108804820906</v>
      </c>
      <c r="I67" s="215">
        <f t="shared" si="1"/>
        <v>503.01305657850679</v>
      </c>
      <c r="J67" s="217">
        <v>93.857142857142861</v>
      </c>
      <c r="K67" s="217">
        <v>0</v>
      </c>
      <c r="L67" s="218">
        <f t="shared" si="0"/>
        <v>93.857142857142861</v>
      </c>
    </row>
    <row r="68" spans="1:12" x14ac:dyDescent="0.2">
      <c r="A68" s="151"/>
      <c r="B68" s="73" t="s">
        <v>326</v>
      </c>
      <c r="C68" s="73" t="s">
        <v>148</v>
      </c>
      <c r="D68" s="73" t="s">
        <v>386</v>
      </c>
      <c r="E68" s="264">
        <v>3559</v>
      </c>
      <c r="F68" s="265">
        <v>1.35E-2</v>
      </c>
      <c r="G68" s="215">
        <v>585.87211248744552</v>
      </c>
      <c r="H68" s="216">
        <v>250.25108804820906</v>
      </c>
      <c r="I68" s="215">
        <f t="shared" si="1"/>
        <v>335.62102443923646</v>
      </c>
      <c r="J68" s="217">
        <v>93.857142857142861</v>
      </c>
      <c r="K68" s="217">
        <v>0</v>
      </c>
      <c r="L68" s="218">
        <f t="shared" si="0"/>
        <v>93.857142857142861</v>
      </c>
    </row>
    <row r="69" spans="1:12" x14ac:dyDescent="0.2">
      <c r="A69" s="151"/>
      <c r="B69" s="73" t="s">
        <v>327</v>
      </c>
      <c r="C69" s="73" t="s">
        <v>148</v>
      </c>
      <c r="D69" s="73" t="s">
        <v>386</v>
      </c>
      <c r="E69" s="264">
        <v>0</v>
      </c>
      <c r="F69" s="265">
        <v>0</v>
      </c>
      <c r="G69" s="215">
        <v>669.56812855708074</v>
      </c>
      <c r="H69" s="216">
        <v>250.25108804820906</v>
      </c>
      <c r="I69" s="215">
        <f t="shared" si="1"/>
        <v>419.31704050887168</v>
      </c>
      <c r="J69" s="217">
        <v>93.857142857142861</v>
      </c>
      <c r="K69" s="217">
        <v>0</v>
      </c>
      <c r="L69" s="218">
        <f t="shared" si="0"/>
        <v>93.857142857142861</v>
      </c>
    </row>
    <row r="70" spans="1:12" x14ac:dyDescent="0.2">
      <c r="A70" s="151"/>
      <c r="B70" s="73" t="s">
        <v>328</v>
      </c>
      <c r="C70" s="73" t="s">
        <v>148</v>
      </c>
      <c r="D70" s="73" t="s">
        <v>386</v>
      </c>
      <c r="E70" s="264">
        <v>70</v>
      </c>
      <c r="F70" s="265">
        <v>2.0000000000000001E-4</v>
      </c>
      <c r="G70" s="215">
        <v>669.56812855708074</v>
      </c>
      <c r="H70" s="216">
        <v>250.25108804820906</v>
      </c>
      <c r="I70" s="215">
        <f t="shared" si="1"/>
        <v>419.31704050887168</v>
      </c>
      <c r="J70" s="217">
        <v>93.857142857142861</v>
      </c>
      <c r="K70" s="217">
        <v>0</v>
      </c>
      <c r="L70" s="218">
        <f t="shared" si="0"/>
        <v>93.857142857142861</v>
      </c>
    </row>
    <row r="71" spans="1:12" x14ac:dyDescent="0.2">
      <c r="A71" s="151"/>
      <c r="B71" s="73" t="s">
        <v>329</v>
      </c>
      <c r="C71" s="73" t="s">
        <v>148</v>
      </c>
      <c r="D71" s="73" t="s">
        <v>386</v>
      </c>
      <c r="E71" s="264">
        <v>0</v>
      </c>
      <c r="F71" s="265">
        <v>0</v>
      </c>
      <c r="G71" s="215">
        <v>753.26414462671585</v>
      </c>
      <c r="H71" s="216">
        <v>250.25108804820906</v>
      </c>
      <c r="I71" s="215">
        <f t="shared" si="1"/>
        <v>503.01305657850679</v>
      </c>
      <c r="J71" s="217">
        <v>93.857142857142861</v>
      </c>
      <c r="K71" s="217">
        <v>0</v>
      </c>
      <c r="L71" s="218">
        <f t="shared" si="0"/>
        <v>93.857142857142861</v>
      </c>
    </row>
    <row r="72" spans="1:12" x14ac:dyDescent="0.2">
      <c r="A72" s="151"/>
      <c r="B72" s="73" t="s">
        <v>330</v>
      </c>
      <c r="C72" s="73" t="s">
        <v>148</v>
      </c>
      <c r="D72" s="73" t="s">
        <v>386</v>
      </c>
      <c r="E72" s="264">
        <v>3295</v>
      </c>
      <c r="F72" s="265">
        <v>1.5100000000000001E-2</v>
      </c>
      <c r="G72" s="215">
        <v>502.17609641781053</v>
      </c>
      <c r="H72" s="216">
        <v>259.93129450590209</v>
      </c>
      <c r="I72" s="215">
        <f t="shared" ref="I72:I119" si="2">G72-H72</f>
        <v>242.24480191190844</v>
      </c>
      <c r="J72" s="217">
        <v>103.11111111111111</v>
      </c>
      <c r="K72" s="217">
        <v>0</v>
      </c>
      <c r="L72" s="218">
        <f t="shared" ref="L72:L119" si="3">J72+K72</f>
        <v>103.11111111111111</v>
      </c>
    </row>
    <row r="73" spans="1:12" x14ac:dyDescent="0.2">
      <c r="A73" s="151"/>
      <c r="B73" s="73" t="s">
        <v>331</v>
      </c>
      <c r="C73" s="73" t="s">
        <v>148</v>
      </c>
      <c r="D73" s="73" t="s">
        <v>386</v>
      </c>
      <c r="E73" s="264">
        <v>1</v>
      </c>
      <c r="F73" s="265">
        <v>1E-4</v>
      </c>
      <c r="G73" s="215">
        <v>585.87211248744552</v>
      </c>
      <c r="H73" s="216">
        <v>259.93129450590209</v>
      </c>
      <c r="I73" s="215">
        <f t="shared" si="2"/>
        <v>325.94081798154343</v>
      </c>
      <c r="J73" s="217">
        <v>103.11111111111111</v>
      </c>
      <c r="K73" s="217">
        <v>0</v>
      </c>
      <c r="L73" s="218">
        <f t="shared" si="3"/>
        <v>103.11111111111111</v>
      </c>
    </row>
    <row r="74" spans="1:12" x14ac:dyDescent="0.2">
      <c r="A74" s="151"/>
      <c r="B74" s="73" t="s">
        <v>332</v>
      </c>
      <c r="C74" s="73" t="s">
        <v>148</v>
      </c>
      <c r="D74" s="73" t="s">
        <v>388</v>
      </c>
      <c r="E74" s="264">
        <v>0</v>
      </c>
      <c r="F74" s="265">
        <v>0</v>
      </c>
      <c r="G74" s="215">
        <v>544.02410445262808</v>
      </c>
      <c r="H74" s="216">
        <v>289.05214383162104</v>
      </c>
      <c r="I74" s="215">
        <f t="shared" si="2"/>
        <v>254.97196062100704</v>
      </c>
      <c r="J74" s="217">
        <v>76.571428571428569</v>
      </c>
      <c r="K74" s="217">
        <v>61</v>
      </c>
      <c r="L74" s="218">
        <f t="shared" si="3"/>
        <v>137.57142857142856</v>
      </c>
    </row>
    <row r="75" spans="1:12" x14ac:dyDescent="0.2">
      <c r="A75" s="151"/>
      <c r="B75" s="73" t="s">
        <v>333</v>
      </c>
      <c r="C75" s="73" t="s">
        <v>148</v>
      </c>
      <c r="D75" s="73" t="s">
        <v>388</v>
      </c>
      <c r="E75" s="264">
        <v>0</v>
      </c>
      <c r="F75" s="265">
        <v>0</v>
      </c>
      <c r="G75" s="215">
        <v>627.72012052226319</v>
      </c>
      <c r="H75" s="216">
        <v>289.05214383162104</v>
      </c>
      <c r="I75" s="215">
        <f t="shared" si="2"/>
        <v>338.66797669064215</v>
      </c>
      <c r="J75" s="217">
        <v>76.571428571428569</v>
      </c>
      <c r="K75" s="217">
        <v>61</v>
      </c>
      <c r="L75" s="218">
        <f t="shared" si="3"/>
        <v>137.57142857142856</v>
      </c>
    </row>
    <row r="76" spans="1:12" x14ac:dyDescent="0.2">
      <c r="A76" s="151"/>
      <c r="B76" s="73" t="s">
        <v>334</v>
      </c>
      <c r="C76" s="73" t="s">
        <v>148</v>
      </c>
      <c r="D76" s="73" t="s">
        <v>388</v>
      </c>
      <c r="E76" s="264">
        <v>0</v>
      </c>
      <c r="F76" s="265">
        <v>0</v>
      </c>
      <c r="G76" s="215">
        <v>795.1121526615334</v>
      </c>
      <c r="H76" s="216">
        <v>289.05214383162104</v>
      </c>
      <c r="I76" s="215">
        <f t="shared" si="2"/>
        <v>506.06000882991236</v>
      </c>
      <c r="J76" s="217">
        <v>76.571428571428569</v>
      </c>
      <c r="K76" s="217">
        <v>61</v>
      </c>
      <c r="L76" s="218">
        <f t="shared" si="3"/>
        <v>137.57142857142856</v>
      </c>
    </row>
    <row r="77" spans="1:12" x14ac:dyDescent="0.2">
      <c r="A77" s="151"/>
      <c r="B77" s="73" t="s">
        <v>335</v>
      </c>
      <c r="C77" s="73" t="s">
        <v>148</v>
      </c>
      <c r="D77" s="73" t="s">
        <v>388</v>
      </c>
      <c r="E77" s="264">
        <v>0</v>
      </c>
      <c r="F77" s="265">
        <v>0</v>
      </c>
      <c r="G77" s="215">
        <v>627.72012052226319</v>
      </c>
      <c r="H77" s="216">
        <v>289.05214383162104</v>
      </c>
      <c r="I77" s="215">
        <f t="shared" si="2"/>
        <v>338.66797669064215</v>
      </c>
      <c r="J77" s="217">
        <v>76.571428571428569</v>
      </c>
      <c r="K77" s="217">
        <v>61</v>
      </c>
      <c r="L77" s="218">
        <f t="shared" si="3"/>
        <v>137.57142857142856</v>
      </c>
    </row>
    <row r="78" spans="1:12" x14ac:dyDescent="0.2">
      <c r="A78" s="151"/>
      <c r="B78" s="73" t="s">
        <v>336</v>
      </c>
      <c r="C78" s="73" t="s">
        <v>148</v>
      </c>
      <c r="D78" s="73" t="s">
        <v>388</v>
      </c>
      <c r="E78" s="264">
        <v>0</v>
      </c>
      <c r="F78" s="265">
        <v>0</v>
      </c>
      <c r="G78" s="215">
        <v>711.41613659189829</v>
      </c>
      <c r="H78" s="216">
        <v>289.05214383162104</v>
      </c>
      <c r="I78" s="215">
        <f t="shared" si="2"/>
        <v>422.36399276027726</v>
      </c>
      <c r="J78" s="217">
        <v>76.571428571428569</v>
      </c>
      <c r="K78" s="217">
        <v>61</v>
      </c>
      <c r="L78" s="218">
        <f t="shared" si="3"/>
        <v>137.57142857142856</v>
      </c>
    </row>
    <row r="79" spans="1:12" x14ac:dyDescent="0.2">
      <c r="A79" s="151"/>
      <c r="B79" s="73" t="s">
        <v>337</v>
      </c>
      <c r="C79" s="73" t="s">
        <v>148</v>
      </c>
      <c r="D79" s="73" t="s">
        <v>388</v>
      </c>
      <c r="E79" s="264">
        <v>0</v>
      </c>
      <c r="F79" s="265">
        <v>0</v>
      </c>
      <c r="G79" s="215">
        <v>711.41613659189829</v>
      </c>
      <c r="H79" s="216">
        <v>289.05214383162104</v>
      </c>
      <c r="I79" s="215">
        <f t="shared" si="2"/>
        <v>422.36399276027726</v>
      </c>
      <c r="J79" s="217">
        <v>76.571428571428569</v>
      </c>
      <c r="K79" s="217">
        <v>61</v>
      </c>
      <c r="L79" s="218">
        <f t="shared" si="3"/>
        <v>137.57142857142856</v>
      </c>
    </row>
    <row r="80" spans="1:12" x14ac:dyDescent="0.2">
      <c r="A80" s="151"/>
      <c r="B80" s="73" t="s">
        <v>338</v>
      </c>
      <c r="C80" s="73" t="s">
        <v>148</v>
      </c>
      <c r="D80" s="73" t="s">
        <v>388</v>
      </c>
      <c r="E80" s="264">
        <v>0</v>
      </c>
      <c r="F80" s="265">
        <v>0</v>
      </c>
      <c r="G80" s="215">
        <v>795.1121526615334</v>
      </c>
      <c r="H80" s="216">
        <v>289.05214383162104</v>
      </c>
      <c r="I80" s="215">
        <f t="shared" si="2"/>
        <v>506.06000882991236</v>
      </c>
      <c r="J80" s="217">
        <v>76.571428571428569</v>
      </c>
      <c r="K80" s="217">
        <v>61</v>
      </c>
      <c r="L80" s="218">
        <f t="shared" si="3"/>
        <v>137.57142857142856</v>
      </c>
    </row>
    <row r="81" spans="1:12" x14ac:dyDescent="0.2">
      <c r="A81" s="151"/>
      <c r="B81" s="73" t="s">
        <v>339</v>
      </c>
      <c r="C81" s="73" t="s">
        <v>148</v>
      </c>
      <c r="D81" s="73" t="s">
        <v>388</v>
      </c>
      <c r="E81" s="264">
        <v>0</v>
      </c>
      <c r="F81" s="265">
        <v>0</v>
      </c>
      <c r="G81" s="215">
        <v>502.17609641781053</v>
      </c>
      <c r="H81" s="216">
        <v>293.70751961459428</v>
      </c>
      <c r="I81" s="215">
        <f t="shared" si="2"/>
        <v>208.46857680321625</v>
      </c>
      <c r="J81" s="217">
        <v>80.444444444444443</v>
      </c>
      <c r="K81" s="217">
        <v>63</v>
      </c>
      <c r="L81" s="218">
        <f t="shared" si="3"/>
        <v>143.44444444444446</v>
      </c>
    </row>
    <row r="82" spans="1:12" x14ac:dyDescent="0.2">
      <c r="A82" s="151"/>
      <c r="B82" s="73" t="s">
        <v>340</v>
      </c>
      <c r="C82" s="73" t="s">
        <v>148</v>
      </c>
      <c r="D82" s="73" t="s">
        <v>388</v>
      </c>
      <c r="E82" s="264">
        <v>0</v>
      </c>
      <c r="F82" s="265">
        <v>0</v>
      </c>
      <c r="G82" s="215">
        <v>585.87211248744552</v>
      </c>
      <c r="H82" s="216">
        <v>293.70751961459428</v>
      </c>
      <c r="I82" s="215">
        <f t="shared" si="2"/>
        <v>292.16459287285124</v>
      </c>
      <c r="J82" s="217">
        <v>80.444444444444443</v>
      </c>
      <c r="K82" s="217">
        <v>63</v>
      </c>
      <c r="L82" s="218">
        <f t="shared" si="3"/>
        <v>143.44444444444446</v>
      </c>
    </row>
    <row r="83" spans="1:12" x14ac:dyDescent="0.2">
      <c r="A83" s="151"/>
      <c r="B83" s="73" t="s">
        <v>341</v>
      </c>
      <c r="C83" s="73" t="s">
        <v>385</v>
      </c>
      <c r="D83" s="73" t="s">
        <v>388</v>
      </c>
      <c r="E83" s="264">
        <v>0</v>
      </c>
      <c r="F83" s="265">
        <v>0</v>
      </c>
      <c r="G83" s="215">
        <v>544.02410445262808</v>
      </c>
      <c r="H83" s="216">
        <v>289.05214383162104</v>
      </c>
      <c r="I83" s="215">
        <f t="shared" si="2"/>
        <v>254.97196062100704</v>
      </c>
      <c r="J83" s="217">
        <v>76.571428571428569</v>
      </c>
      <c r="K83" s="217">
        <v>61</v>
      </c>
      <c r="L83" s="218">
        <f t="shared" si="3"/>
        <v>137.57142857142856</v>
      </c>
    </row>
    <row r="84" spans="1:12" x14ac:dyDescent="0.2">
      <c r="A84" s="151"/>
      <c r="B84" s="73" t="s">
        <v>342</v>
      </c>
      <c r="C84" s="73" t="s">
        <v>385</v>
      </c>
      <c r="D84" s="73" t="s">
        <v>388</v>
      </c>
      <c r="E84" s="264">
        <v>0</v>
      </c>
      <c r="F84" s="265">
        <v>0</v>
      </c>
      <c r="G84" s="215">
        <v>627.72012052226319</v>
      </c>
      <c r="H84" s="216">
        <v>289.05214383162104</v>
      </c>
      <c r="I84" s="215">
        <f t="shared" si="2"/>
        <v>338.66797669064215</v>
      </c>
      <c r="J84" s="217">
        <v>76.571428571428569</v>
      </c>
      <c r="K84" s="217">
        <v>61</v>
      </c>
      <c r="L84" s="218">
        <f t="shared" si="3"/>
        <v>137.57142857142856</v>
      </c>
    </row>
    <row r="85" spans="1:12" x14ac:dyDescent="0.2">
      <c r="A85" s="151"/>
      <c r="B85" s="73" t="s">
        <v>343</v>
      </c>
      <c r="C85" s="73" t="s">
        <v>385</v>
      </c>
      <c r="D85" s="73" t="s">
        <v>388</v>
      </c>
      <c r="E85" s="264">
        <v>0</v>
      </c>
      <c r="F85" s="265">
        <v>0</v>
      </c>
      <c r="G85" s="215">
        <v>795.1121526615334</v>
      </c>
      <c r="H85" s="216">
        <v>289.05214383162104</v>
      </c>
      <c r="I85" s="215">
        <f t="shared" si="2"/>
        <v>506.06000882991236</v>
      </c>
      <c r="J85" s="217">
        <v>76.571428571428569</v>
      </c>
      <c r="K85" s="217">
        <v>61</v>
      </c>
      <c r="L85" s="218">
        <f t="shared" si="3"/>
        <v>137.57142857142856</v>
      </c>
    </row>
    <row r="86" spans="1:12" x14ac:dyDescent="0.2">
      <c r="A86" s="151"/>
      <c r="B86" s="73" t="s">
        <v>344</v>
      </c>
      <c r="C86" s="73" t="s">
        <v>385</v>
      </c>
      <c r="D86" s="73" t="s">
        <v>388</v>
      </c>
      <c r="E86" s="264">
        <v>0</v>
      </c>
      <c r="F86" s="265">
        <v>0</v>
      </c>
      <c r="G86" s="215">
        <v>627.72012052226319</v>
      </c>
      <c r="H86" s="216">
        <v>289.05214383162104</v>
      </c>
      <c r="I86" s="215">
        <f t="shared" si="2"/>
        <v>338.66797669064215</v>
      </c>
      <c r="J86" s="217">
        <v>76.571428571428569</v>
      </c>
      <c r="K86" s="217">
        <v>61</v>
      </c>
      <c r="L86" s="218">
        <f t="shared" si="3"/>
        <v>137.57142857142856</v>
      </c>
    </row>
    <row r="87" spans="1:12" x14ac:dyDescent="0.2">
      <c r="A87" s="151"/>
      <c r="B87" s="73" t="s">
        <v>345</v>
      </c>
      <c r="C87" s="73" t="s">
        <v>385</v>
      </c>
      <c r="D87" s="73" t="s">
        <v>388</v>
      </c>
      <c r="E87" s="264">
        <v>0</v>
      </c>
      <c r="F87" s="265">
        <v>0</v>
      </c>
      <c r="G87" s="215">
        <v>711.41613659189829</v>
      </c>
      <c r="H87" s="216">
        <v>289.05214383162104</v>
      </c>
      <c r="I87" s="215">
        <f t="shared" si="2"/>
        <v>422.36399276027726</v>
      </c>
      <c r="J87" s="217">
        <v>76.571428571428569</v>
      </c>
      <c r="K87" s="217">
        <v>61</v>
      </c>
      <c r="L87" s="218">
        <f t="shared" si="3"/>
        <v>137.57142857142856</v>
      </c>
    </row>
    <row r="88" spans="1:12" x14ac:dyDescent="0.2">
      <c r="A88" s="151"/>
      <c r="B88" s="73" t="s">
        <v>346</v>
      </c>
      <c r="C88" s="73" t="s">
        <v>385</v>
      </c>
      <c r="D88" s="73" t="s">
        <v>388</v>
      </c>
      <c r="E88" s="264">
        <v>0</v>
      </c>
      <c r="F88" s="265">
        <v>0</v>
      </c>
      <c r="G88" s="215">
        <v>711.41613659189829</v>
      </c>
      <c r="H88" s="216">
        <v>289.05214383162104</v>
      </c>
      <c r="I88" s="215">
        <f t="shared" si="2"/>
        <v>422.36399276027726</v>
      </c>
      <c r="J88" s="217">
        <v>76.571428571428569</v>
      </c>
      <c r="K88" s="217">
        <v>61</v>
      </c>
      <c r="L88" s="218">
        <f t="shared" si="3"/>
        <v>137.57142857142856</v>
      </c>
    </row>
    <row r="89" spans="1:12" x14ac:dyDescent="0.2">
      <c r="A89" s="151"/>
      <c r="B89" s="73" t="s">
        <v>347</v>
      </c>
      <c r="C89" s="73" t="s">
        <v>385</v>
      </c>
      <c r="D89" s="73" t="s">
        <v>388</v>
      </c>
      <c r="E89" s="264">
        <v>0</v>
      </c>
      <c r="F89" s="265">
        <v>0</v>
      </c>
      <c r="G89" s="215">
        <v>795.1121526615334</v>
      </c>
      <c r="H89" s="216">
        <v>289.05214383162104</v>
      </c>
      <c r="I89" s="215">
        <f t="shared" si="2"/>
        <v>506.06000882991236</v>
      </c>
      <c r="J89" s="217">
        <v>76.571428571428569</v>
      </c>
      <c r="K89" s="217">
        <v>61</v>
      </c>
      <c r="L89" s="218">
        <f t="shared" si="3"/>
        <v>137.57142857142856</v>
      </c>
    </row>
    <row r="90" spans="1:12" x14ac:dyDescent="0.2">
      <c r="A90" s="151"/>
      <c r="B90" s="73" t="s">
        <v>348</v>
      </c>
      <c r="C90" s="73" t="s">
        <v>385</v>
      </c>
      <c r="D90" s="73" t="s">
        <v>388</v>
      </c>
      <c r="E90" s="264">
        <v>0</v>
      </c>
      <c r="F90" s="265">
        <v>0</v>
      </c>
      <c r="G90" s="215">
        <v>502.17609641781053</v>
      </c>
      <c r="H90" s="216">
        <v>293.70751961459428</v>
      </c>
      <c r="I90" s="215">
        <f t="shared" si="2"/>
        <v>208.46857680321625</v>
      </c>
      <c r="J90" s="217">
        <v>80.444444444444443</v>
      </c>
      <c r="K90" s="217">
        <v>63</v>
      </c>
      <c r="L90" s="218">
        <f t="shared" si="3"/>
        <v>143.44444444444446</v>
      </c>
    </row>
    <row r="91" spans="1:12" x14ac:dyDescent="0.2">
      <c r="A91" s="151"/>
      <c r="B91" s="73" t="s">
        <v>349</v>
      </c>
      <c r="C91" s="73" t="s">
        <v>385</v>
      </c>
      <c r="D91" s="73" t="s">
        <v>388</v>
      </c>
      <c r="E91" s="264">
        <v>0</v>
      </c>
      <c r="F91" s="265">
        <v>0</v>
      </c>
      <c r="G91" s="215">
        <v>585.87211248744552</v>
      </c>
      <c r="H91" s="216">
        <v>293.70751961459428</v>
      </c>
      <c r="I91" s="215">
        <f t="shared" si="2"/>
        <v>292.16459287285124</v>
      </c>
      <c r="J91" s="217">
        <v>80.444444444444443</v>
      </c>
      <c r="K91" s="217">
        <v>63</v>
      </c>
      <c r="L91" s="218">
        <f t="shared" si="3"/>
        <v>143.44444444444446</v>
      </c>
    </row>
    <row r="92" spans="1:12" x14ac:dyDescent="0.2">
      <c r="A92" s="151"/>
      <c r="B92" s="73" t="s">
        <v>350</v>
      </c>
      <c r="C92" s="73" t="s">
        <v>385</v>
      </c>
      <c r="D92" s="73" t="s">
        <v>386</v>
      </c>
      <c r="E92" s="264">
        <v>29</v>
      </c>
      <c r="F92" s="265">
        <v>2.0000000000000001E-4</v>
      </c>
      <c r="G92" s="215">
        <v>502.17609641781053</v>
      </c>
      <c r="H92" s="216">
        <v>250.25108804820906</v>
      </c>
      <c r="I92" s="215">
        <f t="shared" si="2"/>
        <v>251.92500836960147</v>
      </c>
      <c r="J92" s="217">
        <v>93.857142857142861</v>
      </c>
      <c r="K92" s="217">
        <v>0</v>
      </c>
      <c r="L92" s="218">
        <f t="shared" si="3"/>
        <v>93.857142857142861</v>
      </c>
    </row>
    <row r="93" spans="1:12" x14ac:dyDescent="0.2">
      <c r="A93" s="151"/>
      <c r="B93" s="73" t="s">
        <v>351</v>
      </c>
      <c r="C93" s="73" t="s">
        <v>385</v>
      </c>
      <c r="D93" s="73" t="s">
        <v>386</v>
      </c>
      <c r="E93" s="264">
        <v>0</v>
      </c>
      <c r="F93" s="265">
        <v>0</v>
      </c>
      <c r="G93" s="215">
        <v>585.87211248744552</v>
      </c>
      <c r="H93" s="216">
        <v>250.25108804820906</v>
      </c>
      <c r="I93" s="215">
        <f t="shared" si="2"/>
        <v>335.62102443923646</v>
      </c>
      <c r="J93" s="217">
        <v>93.857142857142861</v>
      </c>
      <c r="K93" s="217">
        <v>0</v>
      </c>
      <c r="L93" s="218">
        <f t="shared" si="3"/>
        <v>93.857142857142861</v>
      </c>
    </row>
    <row r="94" spans="1:12" x14ac:dyDescent="0.2">
      <c r="A94" s="151"/>
      <c r="B94" s="73" t="s">
        <v>352</v>
      </c>
      <c r="C94" s="73" t="s">
        <v>385</v>
      </c>
      <c r="D94" s="73" t="s">
        <v>386</v>
      </c>
      <c r="E94" s="264">
        <v>1</v>
      </c>
      <c r="F94" s="265">
        <v>1E-4</v>
      </c>
      <c r="G94" s="215">
        <v>753.26414462671585</v>
      </c>
      <c r="H94" s="216">
        <v>250.25108804820906</v>
      </c>
      <c r="I94" s="215">
        <f t="shared" si="2"/>
        <v>503.01305657850679</v>
      </c>
      <c r="J94" s="217">
        <v>93.857142857142861</v>
      </c>
      <c r="K94" s="217">
        <v>0</v>
      </c>
      <c r="L94" s="218">
        <f t="shared" si="3"/>
        <v>93.857142857142861</v>
      </c>
    </row>
    <row r="95" spans="1:12" x14ac:dyDescent="0.2">
      <c r="A95" s="151"/>
      <c r="B95" s="73" t="s">
        <v>353</v>
      </c>
      <c r="C95" s="73" t="s">
        <v>385</v>
      </c>
      <c r="D95" s="73" t="s">
        <v>386</v>
      </c>
      <c r="E95" s="264">
        <v>553</v>
      </c>
      <c r="F95" s="265">
        <v>1.9E-3</v>
      </c>
      <c r="G95" s="215">
        <v>585.87211248744552</v>
      </c>
      <c r="H95" s="216">
        <v>250.25108804820906</v>
      </c>
      <c r="I95" s="215">
        <f t="shared" si="2"/>
        <v>335.62102443923646</v>
      </c>
      <c r="J95" s="217">
        <v>93.857142857142861</v>
      </c>
      <c r="K95" s="217">
        <v>0</v>
      </c>
      <c r="L95" s="218">
        <f t="shared" si="3"/>
        <v>93.857142857142861</v>
      </c>
    </row>
    <row r="96" spans="1:12" x14ac:dyDescent="0.2">
      <c r="A96" s="151"/>
      <c r="B96" s="73" t="s">
        <v>354</v>
      </c>
      <c r="C96" s="73" t="s">
        <v>385</v>
      </c>
      <c r="D96" s="73" t="s">
        <v>386</v>
      </c>
      <c r="E96" s="264">
        <v>0</v>
      </c>
      <c r="F96" s="265">
        <v>0</v>
      </c>
      <c r="G96" s="215">
        <v>669.56812855708074</v>
      </c>
      <c r="H96" s="216">
        <v>250.25108804820906</v>
      </c>
      <c r="I96" s="215">
        <f t="shared" si="2"/>
        <v>419.31704050887168</v>
      </c>
      <c r="J96" s="217">
        <v>93.857142857142861</v>
      </c>
      <c r="K96" s="217">
        <v>0</v>
      </c>
      <c r="L96" s="218">
        <f t="shared" si="3"/>
        <v>93.857142857142861</v>
      </c>
    </row>
    <row r="97" spans="1:12" x14ac:dyDescent="0.2">
      <c r="A97" s="151"/>
      <c r="B97" s="73" t="s">
        <v>355</v>
      </c>
      <c r="C97" s="73" t="s">
        <v>385</v>
      </c>
      <c r="D97" s="73" t="s">
        <v>386</v>
      </c>
      <c r="E97" s="264">
        <v>3</v>
      </c>
      <c r="F97" s="265">
        <v>1E-4</v>
      </c>
      <c r="G97" s="215">
        <v>669.56812855708074</v>
      </c>
      <c r="H97" s="216">
        <v>250.25108804820906</v>
      </c>
      <c r="I97" s="215">
        <f t="shared" si="2"/>
        <v>419.31704050887168</v>
      </c>
      <c r="J97" s="217">
        <v>93.857142857142861</v>
      </c>
      <c r="K97" s="217">
        <v>0</v>
      </c>
      <c r="L97" s="218">
        <f t="shared" si="3"/>
        <v>93.857142857142861</v>
      </c>
    </row>
    <row r="98" spans="1:12" x14ac:dyDescent="0.2">
      <c r="A98" s="151"/>
      <c r="B98" s="73" t="s">
        <v>356</v>
      </c>
      <c r="C98" s="73" t="s">
        <v>385</v>
      </c>
      <c r="D98" s="73" t="s">
        <v>386</v>
      </c>
      <c r="E98" s="264">
        <v>0</v>
      </c>
      <c r="F98" s="265">
        <v>0</v>
      </c>
      <c r="G98" s="215">
        <v>753.26414462671585</v>
      </c>
      <c r="H98" s="216">
        <v>250.25108804820906</v>
      </c>
      <c r="I98" s="215">
        <f t="shared" si="2"/>
        <v>503.01305657850679</v>
      </c>
      <c r="J98" s="217">
        <v>93.857142857142861</v>
      </c>
      <c r="K98" s="217">
        <v>0</v>
      </c>
      <c r="L98" s="218">
        <f t="shared" si="3"/>
        <v>93.857142857142861</v>
      </c>
    </row>
    <row r="99" spans="1:12" x14ac:dyDescent="0.2">
      <c r="A99" s="151"/>
      <c r="B99" s="73" t="s">
        <v>357</v>
      </c>
      <c r="C99" s="73" t="s">
        <v>385</v>
      </c>
      <c r="D99" s="73" t="s">
        <v>386</v>
      </c>
      <c r="E99" s="264">
        <v>1972</v>
      </c>
      <c r="F99" s="265">
        <v>7.0000000000000001E-3</v>
      </c>
      <c r="G99" s="215">
        <v>502.17609641781053</v>
      </c>
      <c r="H99" s="216">
        <v>259.93129450590209</v>
      </c>
      <c r="I99" s="215">
        <f t="shared" si="2"/>
        <v>242.24480191190844</v>
      </c>
      <c r="J99" s="217">
        <v>103.11111111111111</v>
      </c>
      <c r="K99" s="217">
        <v>0</v>
      </c>
      <c r="L99" s="218">
        <f t="shared" si="3"/>
        <v>103.11111111111111</v>
      </c>
    </row>
    <row r="100" spans="1:12" x14ac:dyDescent="0.2">
      <c r="A100" s="151"/>
      <c r="B100" s="73" t="s">
        <v>358</v>
      </c>
      <c r="C100" s="73" t="s">
        <v>385</v>
      </c>
      <c r="D100" s="73" t="s">
        <v>386</v>
      </c>
      <c r="E100" s="264">
        <v>0</v>
      </c>
      <c r="F100" s="265">
        <v>0</v>
      </c>
      <c r="G100" s="215">
        <v>585.87211248744552</v>
      </c>
      <c r="H100" s="216">
        <v>259.93129450590209</v>
      </c>
      <c r="I100" s="215">
        <f t="shared" si="2"/>
        <v>325.94081798154343</v>
      </c>
      <c r="J100" s="217">
        <v>103.11111111111111</v>
      </c>
      <c r="K100" s="217">
        <v>0</v>
      </c>
      <c r="L100" s="218">
        <f t="shared" si="3"/>
        <v>103.11111111111111</v>
      </c>
    </row>
    <row r="101" spans="1:12" x14ac:dyDescent="0.2">
      <c r="A101" s="151"/>
      <c r="B101" s="73" t="s">
        <v>359</v>
      </c>
      <c r="C101" s="73" t="s">
        <v>148</v>
      </c>
      <c r="D101" s="73" t="s">
        <v>388</v>
      </c>
      <c r="E101" s="264">
        <v>57241</v>
      </c>
      <c r="F101" s="265">
        <v>0.24759999999999999</v>
      </c>
      <c r="G101" s="215">
        <v>585.87211248744552</v>
      </c>
      <c r="H101" s="216">
        <v>289.05214383162104</v>
      </c>
      <c r="I101" s="215">
        <f t="shared" si="2"/>
        <v>296.81996865582448</v>
      </c>
      <c r="J101" s="217">
        <v>76.571428571428569</v>
      </c>
      <c r="K101" s="217">
        <v>61</v>
      </c>
      <c r="L101" s="218">
        <f t="shared" si="3"/>
        <v>137.57142857142856</v>
      </c>
    </row>
    <row r="102" spans="1:12" x14ac:dyDescent="0.2">
      <c r="A102" s="151"/>
      <c r="B102" s="73" t="s">
        <v>360</v>
      </c>
      <c r="C102" s="73" t="s">
        <v>148</v>
      </c>
      <c r="D102" s="73" t="s">
        <v>388</v>
      </c>
      <c r="E102" s="264">
        <v>9</v>
      </c>
      <c r="F102" s="265">
        <v>1E-4</v>
      </c>
      <c r="G102" s="215">
        <v>669.56812855708074</v>
      </c>
      <c r="H102" s="216">
        <v>289.05214383162104</v>
      </c>
      <c r="I102" s="215">
        <f t="shared" si="2"/>
        <v>380.5159847254597</v>
      </c>
      <c r="J102" s="217">
        <v>76.571428571428569</v>
      </c>
      <c r="K102" s="217">
        <v>61</v>
      </c>
      <c r="L102" s="218">
        <f t="shared" si="3"/>
        <v>137.57142857142856</v>
      </c>
    </row>
    <row r="103" spans="1:12" x14ac:dyDescent="0.2">
      <c r="A103" s="151"/>
      <c r="B103" s="73" t="s">
        <v>361</v>
      </c>
      <c r="C103" s="73" t="s">
        <v>148</v>
      </c>
      <c r="D103" s="73" t="s">
        <v>388</v>
      </c>
      <c r="E103" s="264">
        <v>43</v>
      </c>
      <c r="F103" s="265">
        <v>2.0000000000000001E-4</v>
      </c>
      <c r="G103" s="215">
        <v>836.96016069635084</v>
      </c>
      <c r="H103" s="216">
        <v>289.05214383162104</v>
      </c>
      <c r="I103" s="215">
        <f t="shared" si="2"/>
        <v>547.9080168647298</v>
      </c>
      <c r="J103" s="217">
        <v>76.571428571428569</v>
      </c>
      <c r="K103" s="217">
        <v>61</v>
      </c>
      <c r="L103" s="218">
        <f t="shared" si="3"/>
        <v>137.57142857142856</v>
      </c>
    </row>
    <row r="104" spans="1:12" x14ac:dyDescent="0.2">
      <c r="A104" s="151"/>
      <c r="B104" s="73" t="s">
        <v>362</v>
      </c>
      <c r="C104" s="73" t="s">
        <v>148</v>
      </c>
      <c r="D104" s="73" t="s">
        <v>388</v>
      </c>
      <c r="E104" s="264">
        <v>28093</v>
      </c>
      <c r="F104" s="265">
        <v>8.7400000000000005E-2</v>
      </c>
      <c r="G104" s="215">
        <v>669.56812855708074</v>
      </c>
      <c r="H104" s="216">
        <v>289.05214383162104</v>
      </c>
      <c r="I104" s="215">
        <f t="shared" si="2"/>
        <v>380.5159847254597</v>
      </c>
      <c r="J104" s="217">
        <v>76.571428571428569</v>
      </c>
      <c r="K104" s="217">
        <v>61</v>
      </c>
      <c r="L104" s="218">
        <f t="shared" si="3"/>
        <v>137.57142857142856</v>
      </c>
    </row>
    <row r="105" spans="1:12" x14ac:dyDescent="0.2">
      <c r="A105" s="151"/>
      <c r="B105" s="73" t="s">
        <v>363</v>
      </c>
      <c r="C105" s="73" t="s">
        <v>148</v>
      </c>
      <c r="D105" s="73" t="s">
        <v>388</v>
      </c>
      <c r="E105" s="264">
        <v>14</v>
      </c>
      <c r="F105" s="265">
        <v>1E-4</v>
      </c>
      <c r="G105" s="215">
        <v>753.26414462671585</v>
      </c>
      <c r="H105" s="216">
        <v>289.05214383162104</v>
      </c>
      <c r="I105" s="215">
        <f t="shared" si="2"/>
        <v>464.21200079509481</v>
      </c>
      <c r="J105" s="217">
        <v>76.571428571428569</v>
      </c>
      <c r="K105" s="217">
        <v>61</v>
      </c>
      <c r="L105" s="218">
        <f t="shared" si="3"/>
        <v>137.57142857142856</v>
      </c>
    </row>
    <row r="106" spans="1:12" x14ac:dyDescent="0.2">
      <c r="A106" s="151"/>
      <c r="B106" s="73" t="s">
        <v>364</v>
      </c>
      <c r="C106" s="73" t="s">
        <v>148</v>
      </c>
      <c r="D106" s="73" t="s">
        <v>388</v>
      </c>
      <c r="E106" s="264">
        <v>575</v>
      </c>
      <c r="F106" s="265">
        <v>3.2000000000000002E-3</v>
      </c>
      <c r="G106" s="215">
        <v>753.26414462671585</v>
      </c>
      <c r="H106" s="216">
        <v>289.05214383162104</v>
      </c>
      <c r="I106" s="215">
        <f t="shared" si="2"/>
        <v>464.21200079509481</v>
      </c>
      <c r="J106" s="217">
        <v>76.571428571428569</v>
      </c>
      <c r="K106" s="217">
        <v>61</v>
      </c>
      <c r="L106" s="218">
        <f t="shared" si="3"/>
        <v>137.57142857142856</v>
      </c>
    </row>
    <row r="107" spans="1:12" x14ac:dyDescent="0.2">
      <c r="A107" s="151"/>
      <c r="B107" s="73" t="s">
        <v>365</v>
      </c>
      <c r="C107" s="73" t="s">
        <v>148</v>
      </c>
      <c r="D107" s="73" t="s">
        <v>388</v>
      </c>
      <c r="E107" s="264">
        <v>17</v>
      </c>
      <c r="F107" s="265">
        <v>1E-4</v>
      </c>
      <c r="G107" s="215">
        <v>836.96016069635084</v>
      </c>
      <c r="H107" s="216">
        <v>289.05214383162104</v>
      </c>
      <c r="I107" s="215">
        <f t="shared" si="2"/>
        <v>547.9080168647298</v>
      </c>
      <c r="J107" s="217">
        <v>76.571428571428569</v>
      </c>
      <c r="K107" s="217">
        <v>61</v>
      </c>
      <c r="L107" s="218">
        <f t="shared" si="3"/>
        <v>137.57142857142856</v>
      </c>
    </row>
    <row r="108" spans="1:12" x14ac:dyDescent="0.2">
      <c r="A108" s="151"/>
      <c r="B108" s="73" t="s">
        <v>366</v>
      </c>
      <c r="C108" s="73" t="s">
        <v>148</v>
      </c>
      <c r="D108" s="73" t="s">
        <v>388</v>
      </c>
      <c r="E108" s="264">
        <v>66005</v>
      </c>
      <c r="F108" s="265">
        <v>0.43209999999999998</v>
      </c>
      <c r="G108" s="215">
        <v>502.17609641781053</v>
      </c>
      <c r="H108" s="216">
        <v>293.70751961459428</v>
      </c>
      <c r="I108" s="215">
        <f t="shared" si="2"/>
        <v>208.46857680321625</v>
      </c>
      <c r="J108" s="217">
        <v>80.444444444444443</v>
      </c>
      <c r="K108" s="217">
        <v>63</v>
      </c>
      <c r="L108" s="218">
        <f t="shared" si="3"/>
        <v>143.44444444444446</v>
      </c>
    </row>
    <row r="109" spans="1:12" x14ac:dyDescent="0.2">
      <c r="A109" s="151"/>
      <c r="B109" s="73" t="s">
        <v>367</v>
      </c>
      <c r="C109" s="73" t="s">
        <v>148</v>
      </c>
      <c r="D109" s="73" t="s">
        <v>388</v>
      </c>
      <c r="E109" s="264">
        <v>32</v>
      </c>
      <c r="F109" s="265">
        <v>1E-4</v>
      </c>
      <c r="G109" s="215">
        <v>585.87211248744552</v>
      </c>
      <c r="H109" s="216">
        <v>293.70751961459428</v>
      </c>
      <c r="I109" s="215">
        <f t="shared" si="2"/>
        <v>292.16459287285124</v>
      </c>
      <c r="J109" s="217">
        <v>80.444444444444443</v>
      </c>
      <c r="K109" s="217">
        <v>63</v>
      </c>
      <c r="L109" s="218">
        <f t="shared" si="3"/>
        <v>143.44444444444446</v>
      </c>
    </row>
    <row r="110" spans="1:12" x14ac:dyDescent="0.2">
      <c r="A110" s="151"/>
      <c r="B110" s="73" t="s">
        <v>368</v>
      </c>
      <c r="C110" s="73" t="s">
        <v>385</v>
      </c>
      <c r="D110" s="73" t="s">
        <v>388</v>
      </c>
      <c r="E110" s="264">
        <v>3663</v>
      </c>
      <c r="F110" s="265">
        <v>9.7999999999999997E-3</v>
      </c>
      <c r="G110" s="215">
        <v>585.87211248744552</v>
      </c>
      <c r="H110" s="216">
        <v>289.05214383162104</v>
      </c>
      <c r="I110" s="215">
        <f t="shared" si="2"/>
        <v>296.81996865582448</v>
      </c>
      <c r="J110" s="217">
        <v>76.571428571428569</v>
      </c>
      <c r="K110" s="217">
        <v>61</v>
      </c>
      <c r="L110" s="218">
        <f t="shared" si="3"/>
        <v>137.57142857142856</v>
      </c>
    </row>
    <row r="111" spans="1:12" x14ac:dyDescent="0.2">
      <c r="A111" s="151"/>
      <c r="B111" s="73" t="s">
        <v>369</v>
      </c>
      <c r="C111" s="73" t="s">
        <v>385</v>
      </c>
      <c r="D111" s="73" t="s">
        <v>388</v>
      </c>
      <c r="E111" s="264">
        <v>1</v>
      </c>
      <c r="F111" s="265">
        <v>1E-4</v>
      </c>
      <c r="G111" s="215">
        <v>669.56812855708074</v>
      </c>
      <c r="H111" s="216">
        <v>289.05214383162104</v>
      </c>
      <c r="I111" s="215">
        <f t="shared" si="2"/>
        <v>380.5159847254597</v>
      </c>
      <c r="J111" s="217">
        <v>76.571428571428569</v>
      </c>
      <c r="K111" s="217">
        <v>61</v>
      </c>
      <c r="L111" s="218">
        <f t="shared" si="3"/>
        <v>137.57142857142856</v>
      </c>
    </row>
    <row r="112" spans="1:12" x14ac:dyDescent="0.2">
      <c r="A112" s="151"/>
      <c r="B112" s="73" t="s">
        <v>370</v>
      </c>
      <c r="C112" s="73" t="s">
        <v>385</v>
      </c>
      <c r="D112" s="73" t="s">
        <v>388</v>
      </c>
      <c r="E112" s="264">
        <v>22</v>
      </c>
      <c r="F112" s="265">
        <v>1E-4</v>
      </c>
      <c r="G112" s="215">
        <v>836.96016069635084</v>
      </c>
      <c r="H112" s="216">
        <v>289.05214383162104</v>
      </c>
      <c r="I112" s="215">
        <f t="shared" si="2"/>
        <v>547.9080168647298</v>
      </c>
      <c r="J112" s="217">
        <v>76.571428571428569</v>
      </c>
      <c r="K112" s="217">
        <v>61</v>
      </c>
      <c r="L112" s="218">
        <f t="shared" si="3"/>
        <v>137.57142857142856</v>
      </c>
    </row>
    <row r="113" spans="1:12" x14ac:dyDescent="0.2">
      <c r="A113" s="151"/>
      <c r="B113" s="73" t="s">
        <v>371</v>
      </c>
      <c r="C113" s="73" t="s">
        <v>385</v>
      </c>
      <c r="D113" s="73" t="s">
        <v>388</v>
      </c>
      <c r="E113" s="264">
        <v>1160</v>
      </c>
      <c r="F113" s="265">
        <v>6.0000000000000001E-3</v>
      </c>
      <c r="G113" s="215">
        <v>669.56812855708074</v>
      </c>
      <c r="H113" s="216">
        <v>289.05214383162104</v>
      </c>
      <c r="I113" s="215">
        <f t="shared" si="2"/>
        <v>380.5159847254597</v>
      </c>
      <c r="J113" s="217">
        <v>76.571428571428569</v>
      </c>
      <c r="K113" s="217">
        <v>61</v>
      </c>
      <c r="L113" s="218">
        <f t="shared" si="3"/>
        <v>137.57142857142856</v>
      </c>
    </row>
    <row r="114" spans="1:12" x14ac:dyDescent="0.2">
      <c r="A114" s="151"/>
      <c r="B114" s="73" t="s">
        <v>372</v>
      </c>
      <c r="C114" s="73" t="s">
        <v>385</v>
      </c>
      <c r="D114" s="73" t="s">
        <v>388</v>
      </c>
      <c r="E114" s="264">
        <v>5</v>
      </c>
      <c r="F114" s="265">
        <v>1E-4</v>
      </c>
      <c r="G114" s="215">
        <v>753.26414462671585</v>
      </c>
      <c r="H114" s="216">
        <v>289.05214383162104</v>
      </c>
      <c r="I114" s="215">
        <f t="shared" si="2"/>
        <v>464.21200079509481</v>
      </c>
      <c r="J114" s="217">
        <v>76.571428571428569</v>
      </c>
      <c r="K114" s="217">
        <v>61</v>
      </c>
      <c r="L114" s="218">
        <f t="shared" si="3"/>
        <v>137.57142857142856</v>
      </c>
    </row>
    <row r="115" spans="1:12" x14ac:dyDescent="0.2">
      <c r="A115" s="151"/>
      <c r="B115" s="73" t="s">
        <v>373</v>
      </c>
      <c r="C115" s="73" t="s">
        <v>385</v>
      </c>
      <c r="D115" s="73" t="s">
        <v>388</v>
      </c>
      <c r="E115" s="264">
        <v>72</v>
      </c>
      <c r="F115" s="265">
        <v>2.9999999999999997E-4</v>
      </c>
      <c r="G115" s="215">
        <v>753.26414462671585</v>
      </c>
      <c r="H115" s="216">
        <v>289.05214383162104</v>
      </c>
      <c r="I115" s="215">
        <f t="shared" si="2"/>
        <v>464.21200079509481</v>
      </c>
      <c r="J115" s="217">
        <v>76.571428571428569</v>
      </c>
      <c r="K115" s="217">
        <v>61</v>
      </c>
      <c r="L115" s="218">
        <f t="shared" si="3"/>
        <v>137.57142857142856</v>
      </c>
    </row>
    <row r="116" spans="1:12" x14ac:dyDescent="0.2">
      <c r="A116" s="151"/>
      <c r="B116" s="73" t="s">
        <v>374</v>
      </c>
      <c r="C116" s="73" t="s">
        <v>385</v>
      </c>
      <c r="D116" s="73" t="s">
        <v>388</v>
      </c>
      <c r="E116" s="264">
        <v>12</v>
      </c>
      <c r="F116" s="265">
        <v>1E-4</v>
      </c>
      <c r="G116" s="215">
        <v>836.96016069635084</v>
      </c>
      <c r="H116" s="216">
        <v>289.05214383162104</v>
      </c>
      <c r="I116" s="215">
        <f t="shared" si="2"/>
        <v>547.9080168647298</v>
      </c>
      <c r="J116" s="217">
        <v>76.571428571428569</v>
      </c>
      <c r="K116" s="217">
        <v>61</v>
      </c>
      <c r="L116" s="218">
        <f t="shared" si="3"/>
        <v>137.57142857142856</v>
      </c>
    </row>
    <row r="117" spans="1:12" x14ac:dyDescent="0.2">
      <c r="A117" s="151"/>
      <c r="B117" s="73" t="s">
        <v>375</v>
      </c>
      <c r="C117" s="73" t="s">
        <v>385</v>
      </c>
      <c r="D117" s="73" t="s">
        <v>388</v>
      </c>
      <c r="E117" s="264">
        <v>4642</v>
      </c>
      <c r="F117" s="265">
        <v>1.9099999999999999E-2</v>
      </c>
      <c r="G117" s="215">
        <v>502.17609641781053</v>
      </c>
      <c r="H117" s="216">
        <v>293.70751961459428</v>
      </c>
      <c r="I117" s="215">
        <f t="shared" si="2"/>
        <v>208.46857680321625</v>
      </c>
      <c r="J117" s="217">
        <v>80.444444444444443</v>
      </c>
      <c r="K117" s="217">
        <v>63</v>
      </c>
      <c r="L117" s="218">
        <f t="shared" si="3"/>
        <v>143.44444444444446</v>
      </c>
    </row>
    <row r="118" spans="1:12" x14ac:dyDescent="0.2">
      <c r="A118" s="151"/>
      <c r="B118" s="73" t="s">
        <v>376</v>
      </c>
      <c r="C118" s="73" t="s">
        <v>385</v>
      </c>
      <c r="D118" s="73" t="s">
        <v>388</v>
      </c>
      <c r="E118" s="264">
        <v>1</v>
      </c>
      <c r="F118" s="265">
        <v>1E-4</v>
      </c>
      <c r="G118" s="215">
        <v>585.87211248744552</v>
      </c>
      <c r="H118" s="216">
        <v>293.70751961459428</v>
      </c>
      <c r="I118" s="215">
        <f t="shared" si="2"/>
        <v>292.16459287285124</v>
      </c>
      <c r="J118" s="217">
        <v>80.444444444444443</v>
      </c>
      <c r="K118" s="217">
        <v>63</v>
      </c>
      <c r="L118" s="218">
        <f t="shared" si="3"/>
        <v>143.44444444444446</v>
      </c>
    </row>
    <row r="119" spans="1:12" x14ac:dyDescent="0.2">
      <c r="A119" s="151"/>
      <c r="B119" s="73" t="s">
        <v>377</v>
      </c>
      <c r="C119" s="73" t="s">
        <v>148</v>
      </c>
      <c r="D119" s="73" t="s">
        <v>388</v>
      </c>
      <c r="E119" s="264">
        <v>2964</v>
      </c>
      <c r="F119" s="265">
        <v>8.9999999999999993E-3</v>
      </c>
      <c r="G119" s="215">
        <v>920.65617676598595</v>
      </c>
      <c r="H119" s="216">
        <v>348.4336060427118</v>
      </c>
      <c r="I119" s="215">
        <f t="shared" si="2"/>
        <v>572.2225707232742</v>
      </c>
      <c r="J119" s="217">
        <v>130</v>
      </c>
      <c r="K119" s="217">
        <v>97</v>
      </c>
      <c r="L119" s="218">
        <f t="shared" si="3"/>
        <v>227</v>
      </c>
    </row>
  </sheetData>
  <pageMargins left="0.7" right="0.7" top="0.75" bottom="0.75" header="0.3" footer="0.3"/>
  <ignoredErrors>
    <ignoredError sqref="I7:I119" unlockedFormula="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autoPageBreaks="0"/>
  </sheetPr>
  <dimension ref="B1:K179"/>
  <sheetViews>
    <sheetView showGridLines="0" defaultGridColor="0" colorId="22" zoomScaleNormal="100" workbookViewId="0">
      <pane ySplit="1" topLeftCell="A2" activePane="bottomLeft" state="frozen"/>
      <selection pane="bottomLeft" sqref="A1:XFD1048576"/>
    </sheetView>
  </sheetViews>
  <sheetFormatPr baseColWidth="10" defaultColWidth="12.7109375" defaultRowHeight="12" outlineLevelRow="1" x14ac:dyDescent="0.2"/>
  <cols>
    <col min="1" max="1" width="6.7109375" customWidth="1"/>
    <col min="4" max="4" width="6.7109375" style="61" customWidth="1"/>
    <col min="5" max="5" width="69.28515625" style="178" bestFit="1" customWidth="1"/>
    <col min="7" max="7" width="6.7109375" style="61" customWidth="1"/>
    <col min="8" max="8" width="69.28515625" style="178" bestFit="1" customWidth="1"/>
    <col min="9" max="9" width="12.7109375" customWidth="1"/>
    <col min="10" max="10" width="6.7109375" style="61" customWidth="1"/>
    <col min="11" max="11" width="42" style="178" bestFit="1" customWidth="1"/>
    <col min="13" max="13" width="48.42578125" customWidth="1"/>
    <col min="14" max="14" width="12.7109375" customWidth="1"/>
  </cols>
  <sheetData>
    <row r="1" spans="2:11" s="71" customFormat="1" ht="33.75" customHeight="1" x14ac:dyDescent="0.2">
      <c r="C1" s="71" t="s">
        <v>125</v>
      </c>
      <c r="D1" s="162"/>
      <c r="G1" s="162"/>
      <c r="I1"/>
      <c r="J1" s="162"/>
    </row>
    <row r="3" spans="2:11" ht="24" x14ac:dyDescent="0.2">
      <c r="B3" s="1" t="s">
        <v>126</v>
      </c>
      <c r="D3" s="1" t="s">
        <v>130</v>
      </c>
      <c r="E3" s="1" t="s">
        <v>132</v>
      </c>
      <c r="G3" s="1" t="s">
        <v>130</v>
      </c>
      <c r="H3" s="1" t="s">
        <v>381</v>
      </c>
      <c r="J3" s="1" t="s">
        <v>130</v>
      </c>
      <c r="K3" s="1" t="s">
        <v>378</v>
      </c>
    </row>
    <row r="4" spans="2:11" x14ac:dyDescent="0.2">
      <c r="B4" s="74">
        <v>2021</v>
      </c>
      <c r="D4" s="138">
        <v>1</v>
      </c>
      <c r="E4" s="90" t="s">
        <v>267</v>
      </c>
      <c r="G4" s="138">
        <v>1</v>
      </c>
      <c r="H4" s="90" t="s">
        <v>267</v>
      </c>
      <c r="J4" s="138">
        <v>1</v>
      </c>
      <c r="K4" s="140" t="s">
        <v>267</v>
      </c>
    </row>
    <row r="5" spans="2:11" x14ac:dyDescent="0.2">
      <c r="B5" s="72">
        <f>1+B4</f>
        <v>2022</v>
      </c>
      <c r="D5" s="75">
        <f>1+D4</f>
        <v>2</v>
      </c>
      <c r="E5" s="140" t="s">
        <v>402</v>
      </c>
      <c r="G5" s="75">
        <v>2</v>
      </c>
      <c r="H5" s="140" t="s">
        <v>402</v>
      </c>
      <c r="J5" s="75">
        <f>1+J4</f>
        <v>2</v>
      </c>
      <c r="K5" s="140" t="s">
        <v>402</v>
      </c>
    </row>
    <row r="6" spans="2:11" x14ac:dyDescent="0.2">
      <c r="B6" s="72">
        <f>1+B5</f>
        <v>2023</v>
      </c>
      <c r="D6" s="75">
        <f t="shared" ref="D6:D73" si="0">1+D5</f>
        <v>3</v>
      </c>
      <c r="E6" s="140" t="s">
        <v>268</v>
      </c>
      <c r="G6" s="75">
        <v>3</v>
      </c>
      <c r="H6" s="140" t="s">
        <v>268</v>
      </c>
      <c r="J6" s="75">
        <f t="shared" ref="J6:J69" si="1">1+J5</f>
        <v>3</v>
      </c>
      <c r="K6" s="140" t="s">
        <v>322</v>
      </c>
    </row>
    <row r="7" spans="2:11" x14ac:dyDescent="0.2">
      <c r="B7" s="72">
        <f>1+B6</f>
        <v>2024</v>
      </c>
      <c r="D7" s="75">
        <f t="shared" si="0"/>
        <v>4</v>
      </c>
      <c r="E7" s="140" t="s">
        <v>269</v>
      </c>
      <c r="G7" s="75">
        <v>4</v>
      </c>
      <c r="H7" s="140" t="s">
        <v>269</v>
      </c>
      <c r="J7" s="75">
        <f t="shared" si="1"/>
        <v>4</v>
      </c>
      <c r="K7" s="140" t="s">
        <v>403</v>
      </c>
    </row>
    <row r="8" spans="2:11" x14ac:dyDescent="0.2">
      <c r="B8" s="72"/>
      <c r="D8" s="75">
        <f t="shared" si="0"/>
        <v>5</v>
      </c>
      <c r="E8" s="140" t="s">
        <v>270</v>
      </c>
      <c r="G8" s="75">
        <v>5</v>
      </c>
      <c r="H8" s="140" t="s">
        <v>270</v>
      </c>
      <c r="J8" s="75">
        <f t="shared" si="1"/>
        <v>5</v>
      </c>
      <c r="K8" s="140"/>
    </row>
    <row r="9" spans="2:11" x14ac:dyDescent="0.2">
      <c r="B9" s="72"/>
      <c r="D9" s="75">
        <f t="shared" si="0"/>
        <v>6</v>
      </c>
      <c r="E9" s="140" t="s">
        <v>271</v>
      </c>
      <c r="G9" s="75">
        <v>6</v>
      </c>
      <c r="H9" s="140" t="s">
        <v>271</v>
      </c>
      <c r="J9" s="75">
        <f t="shared" si="1"/>
        <v>6</v>
      </c>
      <c r="K9" s="140"/>
    </row>
    <row r="10" spans="2:11" x14ac:dyDescent="0.2">
      <c r="B10" s="72"/>
      <c r="D10" s="75">
        <f t="shared" si="0"/>
        <v>7</v>
      </c>
      <c r="E10" s="140" t="s">
        <v>272</v>
      </c>
      <c r="G10" s="75">
        <v>7</v>
      </c>
      <c r="H10" s="140" t="s">
        <v>272</v>
      </c>
      <c r="J10" s="75">
        <f t="shared" si="1"/>
        <v>7</v>
      </c>
      <c r="K10" s="140"/>
    </row>
    <row r="11" spans="2:11" x14ac:dyDescent="0.2">
      <c r="B11" s="41" t="s">
        <v>127</v>
      </c>
      <c r="D11" s="75">
        <f t="shared" si="0"/>
        <v>8</v>
      </c>
      <c r="E11" s="140" t="s">
        <v>273</v>
      </c>
      <c r="G11" s="75">
        <v>8</v>
      </c>
      <c r="H11" s="140" t="s">
        <v>273</v>
      </c>
      <c r="J11" s="75">
        <f t="shared" si="1"/>
        <v>8</v>
      </c>
      <c r="K11" s="140"/>
    </row>
    <row r="12" spans="2:11" x14ac:dyDescent="0.2">
      <c r="D12" s="75">
        <f t="shared" si="0"/>
        <v>9</v>
      </c>
      <c r="E12" s="140" t="s">
        <v>274</v>
      </c>
      <c r="G12" s="75">
        <v>9</v>
      </c>
      <c r="H12" s="140" t="s">
        <v>274</v>
      </c>
      <c r="J12" s="75">
        <f t="shared" si="1"/>
        <v>9</v>
      </c>
      <c r="K12" s="140"/>
    </row>
    <row r="13" spans="2:11" x14ac:dyDescent="0.2">
      <c r="D13" s="75">
        <f t="shared" si="0"/>
        <v>10</v>
      </c>
      <c r="E13" s="140" t="s">
        <v>275</v>
      </c>
      <c r="G13" s="75">
        <v>10</v>
      </c>
      <c r="H13" s="140" t="s">
        <v>275</v>
      </c>
      <c r="J13" s="75">
        <f t="shared" si="1"/>
        <v>10</v>
      </c>
      <c r="K13" s="140"/>
    </row>
    <row r="14" spans="2:11" x14ac:dyDescent="0.2">
      <c r="D14" s="75">
        <f t="shared" si="0"/>
        <v>11</v>
      </c>
      <c r="E14" s="140" t="s">
        <v>276</v>
      </c>
      <c r="G14" s="75">
        <v>11</v>
      </c>
      <c r="H14" s="140" t="s">
        <v>276</v>
      </c>
      <c r="J14" s="75">
        <f t="shared" si="1"/>
        <v>11</v>
      </c>
      <c r="K14" s="140"/>
    </row>
    <row r="15" spans="2:11" x14ac:dyDescent="0.2">
      <c r="D15" s="75">
        <f t="shared" si="0"/>
        <v>12</v>
      </c>
      <c r="E15" s="140" t="s">
        <v>277</v>
      </c>
      <c r="G15" s="75">
        <v>12</v>
      </c>
      <c r="H15" s="140" t="s">
        <v>277</v>
      </c>
      <c r="J15" s="75">
        <f t="shared" si="1"/>
        <v>12</v>
      </c>
      <c r="K15" s="140"/>
    </row>
    <row r="16" spans="2:11" x14ac:dyDescent="0.2">
      <c r="D16" s="75">
        <f t="shared" si="0"/>
        <v>13</v>
      </c>
      <c r="E16" s="140" t="s">
        <v>278</v>
      </c>
      <c r="G16" s="75">
        <v>13</v>
      </c>
      <c r="H16" s="140" t="s">
        <v>278</v>
      </c>
      <c r="J16" s="75">
        <f t="shared" si="1"/>
        <v>13</v>
      </c>
      <c r="K16" s="140"/>
    </row>
    <row r="17" spans="4:11" x14ac:dyDescent="0.2">
      <c r="D17" s="75">
        <f t="shared" si="0"/>
        <v>14</v>
      </c>
      <c r="E17" s="140" t="s">
        <v>279</v>
      </c>
      <c r="G17" s="75">
        <v>14</v>
      </c>
      <c r="H17" s="140" t="s">
        <v>279</v>
      </c>
      <c r="J17" s="75">
        <f t="shared" si="1"/>
        <v>14</v>
      </c>
      <c r="K17" s="140"/>
    </row>
    <row r="18" spans="4:11" x14ac:dyDescent="0.2">
      <c r="D18" s="75">
        <f t="shared" si="0"/>
        <v>15</v>
      </c>
      <c r="E18" s="140" t="s">
        <v>280</v>
      </c>
      <c r="G18" s="75">
        <v>15</v>
      </c>
      <c r="H18" s="140" t="s">
        <v>280</v>
      </c>
      <c r="J18" s="75">
        <f t="shared" si="1"/>
        <v>15</v>
      </c>
      <c r="K18" s="140"/>
    </row>
    <row r="19" spans="4:11" x14ac:dyDescent="0.2">
      <c r="D19" s="75">
        <f t="shared" si="0"/>
        <v>16</v>
      </c>
      <c r="E19" s="140" t="s">
        <v>281</v>
      </c>
      <c r="G19" s="75">
        <v>16</v>
      </c>
      <c r="H19" s="140" t="s">
        <v>281</v>
      </c>
      <c r="J19" s="75">
        <f t="shared" si="1"/>
        <v>16</v>
      </c>
      <c r="K19" s="140"/>
    </row>
    <row r="20" spans="4:11" x14ac:dyDescent="0.2">
      <c r="D20" s="75">
        <f t="shared" si="0"/>
        <v>17</v>
      </c>
      <c r="E20" s="140" t="s">
        <v>282</v>
      </c>
      <c r="G20" s="75">
        <v>17</v>
      </c>
      <c r="H20" s="140" t="s">
        <v>282</v>
      </c>
      <c r="J20" s="75">
        <f t="shared" si="1"/>
        <v>17</v>
      </c>
      <c r="K20" s="140"/>
    </row>
    <row r="21" spans="4:11" x14ac:dyDescent="0.2">
      <c r="D21" s="75">
        <f t="shared" si="0"/>
        <v>18</v>
      </c>
      <c r="E21" s="140" t="s">
        <v>283</v>
      </c>
      <c r="G21" s="75">
        <v>18</v>
      </c>
      <c r="H21" s="140" t="s">
        <v>283</v>
      </c>
      <c r="J21" s="75">
        <f t="shared" si="1"/>
        <v>18</v>
      </c>
      <c r="K21" s="140"/>
    </row>
    <row r="22" spans="4:11" x14ac:dyDescent="0.2">
      <c r="D22" s="75">
        <f t="shared" si="0"/>
        <v>19</v>
      </c>
      <c r="E22" s="140" t="s">
        <v>284</v>
      </c>
      <c r="G22" s="75">
        <v>19</v>
      </c>
      <c r="H22" s="140" t="s">
        <v>284</v>
      </c>
      <c r="J22" s="75">
        <f t="shared" si="1"/>
        <v>19</v>
      </c>
      <c r="K22" s="140"/>
    </row>
    <row r="23" spans="4:11" x14ac:dyDescent="0.2">
      <c r="D23" s="75">
        <f t="shared" si="0"/>
        <v>20</v>
      </c>
      <c r="E23" s="140" t="s">
        <v>285</v>
      </c>
      <c r="G23" s="75">
        <v>20</v>
      </c>
      <c r="H23" s="140" t="s">
        <v>285</v>
      </c>
      <c r="J23" s="75">
        <f t="shared" si="1"/>
        <v>20</v>
      </c>
      <c r="K23" s="140"/>
    </row>
    <row r="24" spans="4:11" x14ac:dyDescent="0.2">
      <c r="D24" s="75">
        <f t="shared" si="0"/>
        <v>21</v>
      </c>
      <c r="E24" s="140" t="s">
        <v>286</v>
      </c>
      <c r="G24" s="75">
        <v>21</v>
      </c>
      <c r="H24" s="140" t="s">
        <v>286</v>
      </c>
      <c r="J24" s="75">
        <f t="shared" si="1"/>
        <v>21</v>
      </c>
      <c r="K24" s="140"/>
    </row>
    <row r="25" spans="4:11" x14ac:dyDescent="0.2">
      <c r="D25" s="75">
        <f t="shared" si="0"/>
        <v>22</v>
      </c>
      <c r="E25" s="140" t="s">
        <v>287</v>
      </c>
      <c r="G25" s="75">
        <v>22</v>
      </c>
      <c r="H25" s="140" t="s">
        <v>287</v>
      </c>
      <c r="J25" s="75">
        <f t="shared" si="1"/>
        <v>22</v>
      </c>
      <c r="K25" s="140"/>
    </row>
    <row r="26" spans="4:11" x14ac:dyDescent="0.2">
      <c r="D26" s="75">
        <f t="shared" si="0"/>
        <v>23</v>
      </c>
      <c r="E26" s="140" t="s">
        <v>288</v>
      </c>
      <c r="G26" s="75">
        <v>23</v>
      </c>
      <c r="H26" s="140" t="s">
        <v>288</v>
      </c>
      <c r="J26" s="75">
        <f t="shared" si="1"/>
        <v>23</v>
      </c>
      <c r="K26" s="140"/>
    </row>
    <row r="27" spans="4:11" x14ac:dyDescent="0.2">
      <c r="D27" s="75">
        <f t="shared" si="0"/>
        <v>24</v>
      </c>
      <c r="E27" s="140" t="s">
        <v>289</v>
      </c>
      <c r="G27" s="75">
        <v>24</v>
      </c>
      <c r="H27" s="140" t="s">
        <v>289</v>
      </c>
      <c r="J27" s="75">
        <f t="shared" si="1"/>
        <v>24</v>
      </c>
      <c r="K27" s="140"/>
    </row>
    <row r="28" spans="4:11" x14ac:dyDescent="0.2">
      <c r="D28" s="75">
        <f t="shared" si="0"/>
        <v>25</v>
      </c>
      <c r="E28" s="140" t="s">
        <v>290</v>
      </c>
      <c r="G28" s="75">
        <v>25</v>
      </c>
      <c r="H28" s="140" t="s">
        <v>290</v>
      </c>
      <c r="J28" s="75">
        <f t="shared" si="1"/>
        <v>25</v>
      </c>
      <c r="K28" s="140"/>
    </row>
    <row r="29" spans="4:11" x14ac:dyDescent="0.2">
      <c r="D29" s="75">
        <f t="shared" si="0"/>
        <v>26</v>
      </c>
      <c r="E29" s="140" t="s">
        <v>291</v>
      </c>
      <c r="G29" s="75">
        <v>26</v>
      </c>
      <c r="H29" s="140" t="s">
        <v>291</v>
      </c>
      <c r="J29" s="75">
        <f t="shared" si="1"/>
        <v>26</v>
      </c>
      <c r="K29" s="140"/>
    </row>
    <row r="30" spans="4:11" x14ac:dyDescent="0.2">
      <c r="D30" s="75">
        <f t="shared" si="0"/>
        <v>27</v>
      </c>
      <c r="E30" s="140" t="s">
        <v>292</v>
      </c>
      <c r="G30" s="75">
        <v>27</v>
      </c>
      <c r="H30" s="140" t="s">
        <v>292</v>
      </c>
      <c r="J30" s="75">
        <f t="shared" si="1"/>
        <v>27</v>
      </c>
      <c r="K30" s="140"/>
    </row>
    <row r="31" spans="4:11" x14ac:dyDescent="0.2">
      <c r="D31" s="75">
        <f t="shared" si="0"/>
        <v>28</v>
      </c>
      <c r="E31" s="140" t="s">
        <v>293</v>
      </c>
      <c r="G31" s="75">
        <v>28</v>
      </c>
      <c r="H31" s="140" t="s">
        <v>293</v>
      </c>
      <c r="J31" s="75">
        <f t="shared" si="1"/>
        <v>28</v>
      </c>
      <c r="K31" s="140"/>
    </row>
    <row r="32" spans="4:11" x14ac:dyDescent="0.2">
      <c r="D32" s="75">
        <f t="shared" si="0"/>
        <v>29</v>
      </c>
      <c r="E32" s="140" t="s">
        <v>294</v>
      </c>
      <c r="G32" s="75">
        <v>29</v>
      </c>
      <c r="H32" s="140" t="s">
        <v>294</v>
      </c>
      <c r="J32" s="75">
        <f t="shared" si="1"/>
        <v>29</v>
      </c>
      <c r="K32" s="140"/>
    </row>
    <row r="33" spans="4:11" x14ac:dyDescent="0.2">
      <c r="D33" s="75">
        <f t="shared" si="0"/>
        <v>30</v>
      </c>
      <c r="E33" s="140" t="s">
        <v>295</v>
      </c>
      <c r="G33" s="75">
        <v>30</v>
      </c>
      <c r="H33" s="140" t="s">
        <v>295</v>
      </c>
      <c r="J33" s="75">
        <f t="shared" si="1"/>
        <v>30</v>
      </c>
      <c r="K33" s="140"/>
    </row>
    <row r="34" spans="4:11" x14ac:dyDescent="0.2">
      <c r="D34" s="75">
        <f t="shared" si="0"/>
        <v>31</v>
      </c>
      <c r="E34" s="140" t="s">
        <v>296</v>
      </c>
      <c r="G34" s="75">
        <v>31</v>
      </c>
      <c r="H34" s="140" t="s">
        <v>296</v>
      </c>
      <c r="J34" s="75">
        <f t="shared" si="1"/>
        <v>31</v>
      </c>
      <c r="K34" s="140"/>
    </row>
    <row r="35" spans="4:11" x14ac:dyDescent="0.2">
      <c r="D35" s="75">
        <f t="shared" si="0"/>
        <v>32</v>
      </c>
      <c r="E35" s="140" t="s">
        <v>297</v>
      </c>
      <c r="G35" s="75">
        <v>32</v>
      </c>
      <c r="H35" s="140" t="s">
        <v>297</v>
      </c>
      <c r="J35" s="75">
        <f t="shared" si="1"/>
        <v>32</v>
      </c>
      <c r="K35" s="140"/>
    </row>
    <row r="36" spans="4:11" x14ac:dyDescent="0.2">
      <c r="D36" s="75">
        <f t="shared" si="0"/>
        <v>33</v>
      </c>
      <c r="E36" s="140" t="s">
        <v>298</v>
      </c>
      <c r="G36" s="75">
        <v>33</v>
      </c>
      <c r="H36" s="140" t="s">
        <v>298</v>
      </c>
      <c r="J36" s="75">
        <f t="shared" si="1"/>
        <v>33</v>
      </c>
      <c r="K36" s="140"/>
    </row>
    <row r="37" spans="4:11" x14ac:dyDescent="0.2">
      <c r="D37" s="75">
        <f t="shared" si="0"/>
        <v>34</v>
      </c>
      <c r="E37" s="140" t="s">
        <v>299</v>
      </c>
      <c r="G37" s="75">
        <v>34</v>
      </c>
      <c r="H37" s="140" t="s">
        <v>299</v>
      </c>
      <c r="J37" s="75">
        <f t="shared" si="1"/>
        <v>34</v>
      </c>
      <c r="K37" s="140"/>
    </row>
    <row r="38" spans="4:11" x14ac:dyDescent="0.2">
      <c r="D38" s="75">
        <f t="shared" si="0"/>
        <v>35</v>
      </c>
      <c r="E38" s="140" t="s">
        <v>300</v>
      </c>
      <c r="G38" s="75">
        <v>35</v>
      </c>
      <c r="H38" s="140" t="s">
        <v>300</v>
      </c>
      <c r="J38" s="75">
        <f t="shared" si="1"/>
        <v>35</v>
      </c>
      <c r="K38" s="140"/>
    </row>
    <row r="39" spans="4:11" x14ac:dyDescent="0.2">
      <c r="D39" s="75">
        <f t="shared" si="0"/>
        <v>36</v>
      </c>
      <c r="E39" s="140" t="s">
        <v>301</v>
      </c>
      <c r="G39" s="75">
        <v>36</v>
      </c>
      <c r="H39" s="140" t="s">
        <v>301</v>
      </c>
      <c r="J39" s="75">
        <f t="shared" si="1"/>
        <v>36</v>
      </c>
      <c r="K39" s="140"/>
    </row>
    <row r="40" spans="4:11" x14ac:dyDescent="0.2">
      <c r="D40" s="75">
        <f t="shared" si="0"/>
        <v>37</v>
      </c>
      <c r="E40" s="140" t="s">
        <v>302</v>
      </c>
      <c r="G40" s="75">
        <v>37</v>
      </c>
      <c r="H40" s="140" t="s">
        <v>302</v>
      </c>
      <c r="J40" s="75">
        <f t="shared" si="1"/>
        <v>37</v>
      </c>
      <c r="K40" s="140"/>
    </row>
    <row r="41" spans="4:11" x14ac:dyDescent="0.2">
      <c r="D41" s="75">
        <f t="shared" si="0"/>
        <v>38</v>
      </c>
      <c r="E41" s="140" t="s">
        <v>303</v>
      </c>
      <c r="G41" s="75">
        <v>38</v>
      </c>
      <c r="H41" s="140" t="s">
        <v>303</v>
      </c>
      <c r="J41" s="75">
        <f t="shared" si="1"/>
        <v>38</v>
      </c>
      <c r="K41" s="140"/>
    </row>
    <row r="42" spans="4:11" x14ac:dyDescent="0.2">
      <c r="D42" s="75">
        <f t="shared" si="0"/>
        <v>39</v>
      </c>
      <c r="E42" s="140" t="s">
        <v>304</v>
      </c>
      <c r="G42" s="75">
        <v>39</v>
      </c>
      <c r="H42" s="140" t="s">
        <v>304</v>
      </c>
      <c r="J42" s="75">
        <f t="shared" si="1"/>
        <v>39</v>
      </c>
      <c r="K42" s="140"/>
    </row>
    <row r="43" spans="4:11" x14ac:dyDescent="0.2">
      <c r="D43" s="75">
        <f t="shared" si="0"/>
        <v>40</v>
      </c>
      <c r="E43" s="140" t="s">
        <v>305</v>
      </c>
      <c r="G43" s="75">
        <v>40</v>
      </c>
      <c r="H43" s="140" t="s">
        <v>305</v>
      </c>
      <c r="J43" s="75">
        <f t="shared" si="1"/>
        <v>40</v>
      </c>
      <c r="K43" s="140"/>
    </row>
    <row r="44" spans="4:11" x14ac:dyDescent="0.2">
      <c r="D44" s="75">
        <f t="shared" si="0"/>
        <v>41</v>
      </c>
      <c r="E44" s="140" t="s">
        <v>306</v>
      </c>
      <c r="G44" s="75">
        <v>41</v>
      </c>
      <c r="H44" s="140" t="s">
        <v>306</v>
      </c>
      <c r="J44" s="75">
        <f t="shared" si="1"/>
        <v>41</v>
      </c>
      <c r="K44" s="140"/>
    </row>
    <row r="45" spans="4:11" x14ac:dyDescent="0.2">
      <c r="D45" s="75">
        <f t="shared" si="0"/>
        <v>42</v>
      </c>
      <c r="E45" s="140" t="s">
        <v>307</v>
      </c>
      <c r="G45" s="75">
        <v>42</v>
      </c>
      <c r="H45" s="140" t="s">
        <v>307</v>
      </c>
      <c r="J45" s="75">
        <f t="shared" si="1"/>
        <v>42</v>
      </c>
      <c r="K45" s="140"/>
    </row>
    <row r="46" spans="4:11" x14ac:dyDescent="0.2">
      <c r="D46" s="75">
        <f t="shared" si="0"/>
        <v>43</v>
      </c>
      <c r="E46" s="140" t="s">
        <v>308</v>
      </c>
      <c r="G46" s="75">
        <v>43</v>
      </c>
      <c r="H46" s="140" t="s">
        <v>308</v>
      </c>
      <c r="J46" s="75">
        <f t="shared" si="1"/>
        <v>43</v>
      </c>
      <c r="K46" s="140"/>
    </row>
    <row r="47" spans="4:11" x14ac:dyDescent="0.2">
      <c r="D47" s="75">
        <f t="shared" si="0"/>
        <v>44</v>
      </c>
      <c r="E47" s="140" t="s">
        <v>309</v>
      </c>
      <c r="G47" s="75">
        <v>44</v>
      </c>
      <c r="H47" s="140" t="s">
        <v>309</v>
      </c>
      <c r="J47" s="75">
        <f t="shared" si="1"/>
        <v>44</v>
      </c>
      <c r="K47" s="140"/>
    </row>
    <row r="48" spans="4:11" x14ac:dyDescent="0.2">
      <c r="D48" s="75">
        <f t="shared" si="0"/>
        <v>45</v>
      </c>
      <c r="E48" s="140" t="s">
        <v>310</v>
      </c>
      <c r="G48" s="75">
        <v>45</v>
      </c>
      <c r="H48" s="140" t="s">
        <v>310</v>
      </c>
      <c r="J48" s="75">
        <f t="shared" si="1"/>
        <v>45</v>
      </c>
      <c r="K48" s="140"/>
    </row>
    <row r="49" spans="4:11" x14ac:dyDescent="0.2">
      <c r="D49" s="75">
        <f t="shared" si="0"/>
        <v>46</v>
      </c>
      <c r="E49" s="140" t="s">
        <v>311</v>
      </c>
      <c r="G49" s="75">
        <v>46</v>
      </c>
      <c r="H49" s="140" t="s">
        <v>311</v>
      </c>
      <c r="J49" s="75">
        <f t="shared" si="1"/>
        <v>46</v>
      </c>
      <c r="K49" s="140"/>
    </row>
    <row r="50" spans="4:11" x14ac:dyDescent="0.2">
      <c r="D50" s="75">
        <f t="shared" si="0"/>
        <v>47</v>
      </c>
      <c r="E50" s="140" t="s">
        <v>312</v>
      </c>
      <c r="G50" s="75">
        <v>47</v>
      </c>
      <c r="H50" s="140" t="s">
        <v>312</v>
      </c>
      <c r="J50" s="75">
        <f t="shared" si="1"/>
        <v>47</v>
      </c>
      <c r="K50" s="75"/>
    </row>
    <row r="51" spans="4:11" x14ac:dyDescent="0.2">
      <c r="D51" s="75">
        <f t="shared" si="0"/>
        <v>48</v>
      </c>
      <c r="E51" s="140" t="s">
        <v>313</v>
      </c>
      <c r="G51" s="75">
        <v>48</v>
      </c>
      <c r="H51" s="140" t="s">
        <v>313</v>
      </c>
      <c r="J51" s="75">
        <f t="shared" si="1"/>
        <v>48</v>
      </c>
      <c r="K51" s="75"/>
    </row>
    <row r="52" spans="4:11" x14ac:dyDescent="0.2">
      <c r="D52" s="75">
        <f t="shared" si="0"/>
        <v>49</v>
      </c>
      <c r="E52" s="140" t="s">
        <v>314</v>
      </c>
      <c r="G52" s="75">
        <v>49</v>
      </c>
      <c r="H52" s="140" t="s">
        <v>314</v>
      </c>
      <c r="J52" s="75">
        <f t="shared" si="1"/>
        <v>49</v>
      </c>
      <c r="K52" s="75"/>
    </row>
    <row r="53" spans="4:11" x14ac:dyDescent="0.2">
      <c r="D53" s="75">
        <f t="shared" si="0"/>
        <v>50</v>
      </c>
      <c r="E53" s="140" t="s">
        <v>315</v>
      </c>
      <c r="G53" s="75">
        <v>50</v>
      </c>
      <c r="H53" s="140" t="s">
        <v>315</v>
      </c>
      <c r="J53" s="75">
        <f t="shared" si="1"/>
        <v>50</v>
      </c>
      <c r="K53" s="75"/>
    </row>
    <row r="54" spans="4:11" x14ac:dyDescent="0.2">
      <c r="D54" s="75">
        <f t="shared" si="0"/>
        <v>51</v>
      </c>
      <c r="E54" s="140" t="s">
        <v>316</v>
      </c>
      <c r="G54" s="75">
        <v>51</v>
      </c>
      <c r="H54" s="140" t="s">
        <v>316</v>
      </c>
      <c r="J54" s="75">
        <f t="shared" si="1"/>
        <v>51</v>
      </c>
      <c r="K54" s="75"/>
    </row>
    <row r="55" spans="4:11" x14ac:dyDescent="0.2">
      <c r="D55" s="75">
        <f t="shared" si="0"/>
        <v>52</v>
      </c>
      <c r="E55" s="140" t="s">
        <v>317</v>
      </c>
      <c r="G55" s="75">
        <v>52</v>
      </c>
      <c r="H55" s="140" t="s">
        <v>317</v>
      </c>
      <c r="J55" s="75">
        <f t="shared" si="1"/>
        <v>52</v>
      </c>
      <c r="K55" s="75"/>
    </row>
    <row r="56" spans="4:11" x14ac:dyDescent="0.2">
      <c r="D56" s="75">
        <f t="shared" si="0"/>
        <v>53</v>
      </c>
      <c r="E56" s="140" t="s">
        <v>318</v>
      </c>
      <c r="G56" s="75">
        <v>53</v>
      </c>
      <c r="H56" s="140" t="s">
        <v>318</v>
      </c>
      <c r="J56" s="75">
        <f t="shared" si="1"/>
        <v>53</v>
      </c>
      <c r="K56" s="75"/>
    </row>
    <row r="57" spans="4:11" x14ac:dyDescent="0.2">
      <c r="D57" s="75">
        <f t="shared" si="0"/>
        <v>54</v>
      </c>
      <c r="E57" s="140" t="s">
        <v>319</v>
      </c>
      <c r="G57" s="75">
        <v>54</v>
      </c>
      <c r="H57" s="140" t="s">
        <v>319</v>
      </c>
      <c r="J57" s="75">
        <f t="shared" si="1"/>
        <v>54</v>
      </c>
      <c r="K57" s="75"/>
    </row>
    <row r="58" spans="4:11" x14ac:dyDescent="0.2">
      <c r="D58" s="75">
        <f t="shared" si="0"/>
        <v>55</v>
      </c>
      <c r="E58" s="140" t="s">
        <v>320</v>
      </c>
      <c r="G58" s="75">
        <v>55</v>
      </c>
      <c r="H58" s="140" t="s">
        <v>320</v>
      </c>
      <c r="J58" s="75">
        <f t="shared" si="1"/>
        <v>55</v>
      </c>
      <c r="K58" s="75"/>
    </row>
    <row r="59" spans="4:11" x14ac:dyDescent="0.2">
      <c r="D59" s="75">
        <f t="shared" si="0"/>
        <v>56</v>
      </c>
      <c r="E59" s="140" t="s">
        <v>321</v>
      </c>
      <c r="G59" s="75">
        <v>56</v>
      </c>
      <c r="H59" s="140" t="s">
        <v>321</v>
      </c>
      <c r="J59" s="75">
        <f t="shared" si="1"/>
        <v>56</v>
      </c>
      <c r="K59" s="75"/>
    </row>
    <row r="60" spans="4:11" x14ac:dyDescent="0.2">
      <c r="D60" s="75">
        <f t="shared" si="0"/>
        <v>57</v>
      </c>
      <c r="E60" s="140" t="s">
        <v>322</v>
      </c>
      <c r="G60" s="75">
        <v>57</v>
      </c>
      <c r="H60" s="140" t="s">
        <v>322</v>
      </c>
      <c r="J60" s="75">
        <f t="shared" si="1"/>
        <v>57</v>
      </c>
      <c r="K60" s="75"/>
    </row>
    <row r="61" spans="4:11" x14ac:dyDescent="0.2">
      <c r="D61" s="75">
        <f t="shared" si="0"/>
        <v>58</v>
      </c>
      <c r="E61" s="140" t="s">
        <v>403</v>
      </c>
      <c r="G61" s="75">
        <v>58</v>
      </c>
      <c r="H61" s="140" t="s">
        <v>403</v>
      </c>
      <c r="J61" s="75">
        <f t="shared" si="1"/>
        <v>58</v>
      </c>
      <c r="K61" s="75"/>
    </row>
    <row r="62" spans="4:11" x14ac:dyDescent="0.2">
      <c r="D62" s="75">
        <f t="shared" si="0"/>
        <v>59</v>
      </c>
      <c r="E62" s="140" t="s">
        <v>323</v>
      </c>
      <c r="G62" s="75">
        <v>59</v>
      </c>
      <c r="H62" s="140" t="s">
        <v>323</v>
      </c>
      <c r="J62" s="75">
        <f t="shared" si="1"/>
        <v>59</v>
      </c>
      <c r="K62" s="75"/>
    </row>
    <row r="63" spans="4:11" x14ac:dyDescent="0.2">
      <c r="D63" s="75">
        <f t="shared" si="0"/>
        <v>60</v>
      </c>
      <c r="E63" s="140" t="s">
        <v>324</v>
      </c>
      <c r="G63" s="75">
        <v>60</v>
      </c>
      <c r="H63" s="140" t="s">
        <v>324</v>
      </c>
      <c r="J63" s="75">
        <f t="shared" si="1"/>
        <v>60</v>
      </c>
      <c r="K63" s="75"/>
    </row>
    <row r="64" spans="4:11" x14ac:dyDescent="0.2">
      <c r="D64" s="75">
        <f t="shared" si="0"/>
        <v>61</v>
      </c>
      <c r="E64" s="140" t="s">
        <v>325</v>
      </c>
      <c r="G64" s="75">
        <v>61</v>
      </c>
      <c r="H64" s="140" t="s">
        <v>325</v>
      </c>
      <c r="J64" s="75">
        <f t="shared" si="1"/>
        <v>61</v>
      </c>
      <c r="K64" s="75"/>
    </row>
    <row r="65" spans="4:11" x14ac:dyDescent="0.2">
      <c r="D65" s="75">
        <f t="shared" si="0"/>
        <v>62</v>
      </c>
      <c r="E65" s="140" t="s">
        <v>326</v>
      </c>
      <c r="G65" s="75">
        <v>62</v>
      </c>
      <c r="H65" s="140" t="s">
        <v>326</v>
      </c>
      <c r="J65" s="75">
        <f t="shared" si="1"/>
        <v>62</v>
      </c>
      <c r="K65" s="75"/>
    </row>
    <row r="66" spans="4:11" x14ac:dyDescent="0.2">
      <c r="D66" s="75">
        <f t="shared" si="0"/>
        <v>63</v>
      </c>
      <c r="E66" s="140" t="s">
        <v>327</v>
      </c>
      <c r="G66" s="75">
        <v>63</v>
      </c>
      <c r="H66" s="140" t="s">
        <v>327</v>
      </c>
      <c r="J66" s="75">
        <f t="shared" si="1"/>
        <v>63</v>
      </c>
      <c r="K66" s="75"/>
    </row>
    <row r="67" spans="4:11" x14ac:dyDescent="0.2">
      <c r="D67" s="75">
        <f t="shared" si="0"/>
        <v>64</v>
      </c>
      <c r="E67" s="140" t="s">
        <v>328</v>
      </c>
      <c r="G67" s="75">
        <v>64</v>
      </c>
      <c r="H67" s="140" t="s">
        <v>328</v>
      </c>
      <c r="J67" s="75">
        <f t="shared" si="1"/>
        <v>64</v>
      </c>
      <c r="K67" s="75"/>
    </row>
    <row r="68" spans="4:11" x14ac:dyDescent="0.2">
      <c r="D68" s="75">
        <f t="shared" si="0"/>
        <v>65</v>
      </c>
      <c r="E68" s="140" t="s">
        <v>329</v>
      </c>
      <c r="G68" s="75">
        <v>65</v>
      </c>
      <c r="H68" s="140" t="s">
        <v>329</v>
      </c>
      <c r="J68" s="75">
        <f t="shared" si="1"/>
        <v>65</v>
      </c>
      <c r="K68" s="75"/>
    </row>
    <row r="69" spans="4:11" x14ac:dyDescent="0.2">
      <c r="D69" s="75">
        <f t="shared" si="0"/>
        <v>66</v>
      </c>
      <c r="E69" s="140" t="s">
        <v>330</v>
      </c>
      <c r="G69" s="75">
        <v>66</v>
      </c>
      <c r="H69" s="140" t="s">
        <v>330</v>
      </c>
      <c r="J69" s="75">
        <f t="shared" si="1"/>
        <v>66</v>
      </c>
      <c r="K69" s="75"/>
    </row>
    <row r="70" spans="4:11" x14ac:dyDescent="0.2">
      <c r="D70" s="75">
        <f t="shared" si="0"/>
        <v>67</v>
      </c>
      <c r="E70" s="140" t="s">
        <v>331</v>
      </c>
      <c r="G70" s="75">
        <v>67</v>
      </c>
      <c r="H70" s="140" t="s">
        <v>331</v>
      </c>
      <c r="J70" s="75">
        <f t="shared" ref="J70:J133" si="2">1+J69</f>
        <v>67</v>
      </c>
      <c r="K70" s="75"/>
    </row>
    <row r="71" spans="4:11" x14ac:dyDescent="0.2">
      <c r="D71" s="75">
        <f t="shared" si="0"/>
        <v>68</v>
      </c>
      <c r="E71" s="140" t="s">
        <v>332</v>
      </c>
      <c r="G71" s="75">
        <v>68</v>
      </c>
      <c r="H71" s="140" t="s">
        <v>332</v>
      </c>
      <c r="J71" s="75">
        <f t="shared" si="2"/>
        <v>68</v>
      </c>
      <c r="K71" s="75"/>
    </row>
    <row r="72" spans="4:11" x14ac:dyDescent="0.2">
      <c r="D72" s="75">
        <f t="shared" si="0"/>
        <v>69</v>
      </c>
      <c r="E72" s="140" t="s">
        <v>333</v>
      </c>
      <c r="G72" s="75">
        <v>69</v>
      </c>
      <c r="H72" s="140" t="s">
        <v>333</v>
      </c>
      <c r="J72" s="75">
        <f t="shared" si="2"/>
        <v>69</v>
      </c>
      <c r="K72" s="75"/>
    </row>
    <row r="73" spans="4:11" x14ac:dyDescent="0.2">
      <c r="D73" s="75">
        <f t="shared" si="0"/>
        <v>70</v>
      </c>
      <c r="E73" s="140" t="s">
        <v>334</v>
      </c>
      <c r="G73" s="75">
        <f>G72+1</f>
        <v>70</v>
      </c>
      <c r="H73" s="140" t="s">
        <v>334</v>
      </c>
      <c r="J73" s="75">
        <f t="shared" si="2"/>
        <v>70</v>
      </c>
      <c r="K73" s="75"/>
    </row>
    <row r="74" spans="4:11" x14ac:dyDescent="0.2">
      <c r="D74" s="75">
        <f t="shared" ref="D74:D137" si="3">1+D73</f>
        <v>71</v>
      </c>
      <c r="E74" s="140" t="s">
        <v>335</v>
      </c>
      <c r="G74" s="75">
        <f t="shared" ref="G74:G137" si="4">G73+1</f>
        <v>71</v>
      </c>
      <c r="H74" s="140" t="s">
        <v>335</v>
      </c>
      <c r="J74" s="75">
        <f t="shared" si="2"/>
        <v>71</v>
      </c>
      <c r="K74" s="75"/>
    </row>
    <row r="75" spans="4:11" x14ac:dyDescent="0.2">
      <c r="D75" s="75">
        <f t="shared" si="3"/>
        <v>72</v>
      </c>
      <c r="E75" s="140" t="s">
        <v>336</v>
      </c>
      <c r="G75" s="75">
        <f t="shared" si="4"/>
        <v>72</v>
      </c>
      <c r="H75" s="140" t="s">
        <v>336</v>
      </c>
      <c r="J75" s="75">
        <f t="shared" si="2"/>
        <v>72</v>
      </c>
      <c r="K75" s="75"/>
    </row>
    <row r="76" spans="4:11" x14ac:dyDescent="0.2">
      <c r="D76" s="75">
        <f t="shared" si="3"/>
        <v>73</v>
      </c>
      <c r="E76" s="140" t="s">
        <v>337</v>
      </c>
      <c r="G76" s="75">
        <f t="shared" si="4"/>
        <v>73</v>
      </c>
      <c r="H76" s="140" t="s">
        <v>337</v>
      </c>
      <c r="J76" s="75">
        <f t="shared" si="2"/>
        <v>73</v>
      </c>
      <c r="K76" s="75"/>
    </row>
    <row r="77" spans="4:11" x14ac:dyDescent="0.2">
      <c r="D77" s="75">
        <f t="shared" si="3"/>
        <v>74</v>
      </c>
      <c r="E77" s="140" t="s">
        <v>338</v>
      </c>
      <c r="G77" s="75">
        <f t="shared" si="4"/>
        <v>74</v>
      </c>
      <c r="H77" s="140" t="s">
        <v>338</v>
      </c>
      <c r="J77" s="75">
        <f t="shared" si="2"/>
        <v>74</v>
      </c>
      <c r="K77" s="75"/>
    </row>
    <row r="78" spans="4:11" x14ac:dyDescent="0.2">
      <c r="D78" s="75">
        <f t="shared" si="3"/>
        <v>75</v>
      </c>
      <c r="E78" s="140" t="s">
        <v>339</v>
      </c>
      <c r="G78" s="75">
        <f t="shared" si="4"/>
        <v>75</v>
      </c>
      <c r="H78" s="140" t="s">
        <v>339</v>
      </c>
      <c r="J78" s="75">
        <f t="shared" si="2"/>
        <v>75</v>
      </c>
      <c r="K78" s="75"/>
    </row>
    <row r="79" spans="4:11" x14ac:dyDescent="0.2">
      <c r="D79" s="75">
        <f t="shared" si="3"/>
        <v>76</v>
      </c>
      <c r="E79" s="140" t="s">
        <v>340</v>
      </c>
      <c r="G79" s="75">
        <f t="shared" si="4"/>
        <v>76</v>
      </c>
      <c r="H79" s="140" t="s">
        <v>340</v>
      </c>
      <c r="J79" s="75">
        <f t="shared" si="2"/>
        <v>76</v>
      </c>
      <c r="K79" s="75"/>
    </row>
    <row r="80" spans="4:11" x14ac:dyDescent="0.2">
      <c r="D80" s="75">
        <f t="shared" si="3"/>
        <v>77</v>
      </c>
      <c r="E80" s="140" t="s">
        <v>341</v>
      </c>
      <c r="G80" s="75">
        <f t="shared" si="4"/>
        <v>77</v>
      </c>
      <c r="H80" s="140" t="s">
        <v>341</v>
      </c>
      <c r="J80" s="75">
        <f t="shared" si="2"/>
        <v>77</v>
      </c>
      <c r="K80" s="75"/>
    </row>
    <row r="81" spans="4:11" x14ac:dyDescent="0.2">
      <c r="D81" s="75">
        <f t="shared" si="3"/>
        <v>78</v>
      </c>
      <c r="E81" s="140" t="s">
        <v>342</v>
      </c>
      <c r="G81" s="75">
        <f t="shared" si="4"/>
        <v>78</v>
      </c>
      <c r="H81" s="140" t="s">
        <v>342</v>
      </c>
      <c r="J81" s="75">
        <f t="shared" si="2"/>
        <v>78</v>
      </c>
      <c r="K81" s="75"/>
    </row>
    <row r="82" spans="4:11" x14ac:dyDescent="0.2">
      <c r="D82" s="75">
        <f t="shared" si="3"/>
        <v>79</v>
      </c>
      <c r="E82" s="140" t="s">
        <v>343</v>
      </c>
      <c r="G82" s="75">
        <f t="shared" si="4"/>
        <v>79</v>
      </c>
      <c r="H82" s="140" t="s">
        <v>343</v>
      </c>
      <c r="J82" s="75">
        <f t="shared" si="2"/>
        <v>79</v>
      </c>
      <c r="K82" s="75"/>
    </row>
    <row r="83" spans="4:11" x14ac:dyDescent="0.2">
      <c r="D83" s="75">
        <f t="shared" si="3"/>
        <v>80</v>
      </c>
      <c r="E83" s="140" t="s">
        <v>344</v>
      </c>
      <c r="G83" s="75">
        <f t="shared" si="4"/>
        <v>80</v>
      </c>
      <c r="H83" s="140" t="s">
        <v>344</v>
      </c>
      <c r="J83" s="75">
        <f t="shared" si="2"/>
        <v>80</v>
      </c>
      <c r="K83" s="75"/>
    </row>
    <row r="84" spans="4:11" x14ac:dyDescent="0.2">
      <c r="D84" s="75">
        <f t="shared" si="3"/>
        <v>81</v>
      </c>
      <c r="E84" s="140" t="s">
        <v>345</v>
      </c>
      <c r="G84" s="75">
        <f t="shared" si="4"/>
        <v>81</v>
      </c>
      <c r="H84" s="140" t="s">
        <v>345</v>
      </c>
      <c r="J84" s="75">
        <f t="shared" si="2"/>
        <v>81</v>
      </c>
      <c r="K84" s="75"/>
    </row>
    <row r="85" spans="4:11" x14ac:dyDescent="0.2">
      <c r="D85" s="75">
        <f t="shared" si="3"/>
        <v>82</v>
      </c>
      <c r="E85" s="140" t="s">
        <v>346</v>
      </c>
      <c r="G85" s="75">
        <f t="shared" si="4"/>
        <v>82</v>
      </c>
      <c r="H85" s="140" t="s">
        <v>346</v>
      </c>
      <c r="J85" s="75">
        <f t="shared" si="2"/>
        <v>82</v>
      </c>
      <c r="K85" s="75"/>
    </row>
    <row r="86" spans="4:11" x14ac:dyDescent="0.2">
      <c r="D86" s="75">
        <f t="shared" si="3"/>
        <v>83</v>
      </c>
      <c r="E86" s="140" t="s">
        <v>347</v>
      </c>
      <c r="G86" s="75">
        <f t="shared" si="4"/>
        <v>83</v>
      </c>
      <c r="H86" s="140" t="s">
        <v>347</v>
      </c>
      <c r="J86" s="75">
        <f t="shared" si="2"/>
        <v>83</v>
      </c>
      <c r="K86" s="75"/>
    </row>
    <row r="87" spans="4:11" x14ac:dyDescent="0.2">
      <c r="D87" s="75">
        <f t="shared" si="3"/>
        <v>84</v>
      </c>
      <c r="E87" s="140" t="s">
        <v>348</v>
      </c>
      <c r="G87" s="75">
        <f t="shared" si="4"/>
        <v>84</v>
      </c>
      <c r="H87" s="140" t="s">
        <v>348</v>
      </c>
      <c r="J87" s="75">
        <f t="shared" si="2"/>
        <v>84</v>
      </c>
      <c r="K87" s="75"/>
    </row>
    <row r="88" spans="4:11" x14ac:dyDescent="0.2">
      <c r="D88" s="75">
        <f t="shared" si="3"/>
        <v>85</v>
      </c>
      <c r="E88" s="140" t="s">
        <v>349</v>
      </c>
      <c r="G88" s="75">
        <f t="shared" si="4"/>
        <v>85</v>
      </c>
      <c r="H88" s="140" t="s">
        <v>349</v>
      </c>
      <c r="J88" s="75">
        <f t="shared" si="2"/>
        <v>85</v>
      </c>
      <c r="K88" s="75"/>
    </row>
    <row r="89" spans="4:11" x14ac:dyDescent="0.2">
      <c r="D89" s="75">
        <f t="shared" si="3"/>
        <v>86</v>
      </c>
      <c r="E89" s="140" t="s">
        <v>350</v>
      </c>
      <c r="G89" s="75">
        <f t="shared" si="4"/>
        <v>86</v>
      </c>
      <c r="H89" s="140" t="s">
        <v>350</v>
      </c>
      <c r="J89" s="75">
        <f t="shared" si="2"/>
        <v>86</v>
      </c>
      <c r="K89" s="75"/>
    </row>
    <row r="90" spans="4:11" x14ac:dyDescent="0.2">
      <c r="D90" s="75">
        <f t="shared" si="3"/>
        <v>87</v>
      </c>
      <c r="E90" s="140" t="s">
        <v>351</v>
      </c>
      <c r="G90" s="75">
        <f t="shared" si="4"/>
        <v>87</v>
      </c>
      <c r="H90" s="140" t="s">
        <v>351</v>
      </c>
      <c r="J90" s="75">
        <f t="shared" si="2"/>
        <v>87</v>
      </c>
      <c r="K90" s="75"/>
    </row>
    <row r="91" spans="4:11" x14ac:dyDescent="0.2">
      <c r="D91" s="75">
        <f t="shared" si="3"/>
        <v>88</v>
      </c>
      <c r="E91" s="140" t="s">
        <v>352</v>
      </c>
      <c r="G91" s="75">
        <f t="shared" si="4"/>
        <v>88</v>
      </c>
      <c r="H91" s="140" t="s">
        <v>352</v>
      </c>
      <c r="J91" s="75">
        <f t="shared" si="2"/>
        <v>88</v>
      </c>
      <c r="K91" s="75"/>
    </row>
    <row r="92" spans="4:11" x14ac:dyDescent="0.2">
      <c r="D92" s="75">
        <f t="shared" si="3"/>
        <v>89</v>
      </c>
      <c r="E92" s="140" t="s">
        <v>353</v>
      </c>
      <c r="G92" s="75">
        <f t="shared" si="4"/>
        <v>89</v>
      </c>
      <c r="H92" s="140" t="s">
        <v>353</v>
      </c>
      <c r="J92" s="75">
        <f t="shared" si="2"/>
        <v>89</v>
      </c>
      <c r="K92" s="75"/>
    </row>
    <row r="93" spans="4:11" x14ac:dyDescent="0.2">
      <c r="D93" s="75">
        <f t="shared" si="3"/>
        <v>90</v>
      </c>
      <c r="E93" s="140" t="s">
        <v>354</v>
      </c>
      <c r="G93" s="75">
        <f t="shared" si="4"/>
        <v>90</v>
      </c>
      <c r="H93" s="140" t="s">
        <v>354</v>
      </c>
      <c r="J93" s="75">
        <f t="shared" si="2"/>
        <v>90</v>
      </c>
      <c r="K93" s="75"/>
    </row>
    <row r="94" spans="4:11" x14ac:dyDescent="0.2">
      <c r="D94" s="75">
        <f t="shared" si="3"/>
        <v>91</v>
      </c>
      <c r="E94" s="140" t="s">
        <v>355</v>
      </c>
      <c r="G94" s="75">
        <f t="shared" si="4"/>
        <v>91</v>
      </c>
      <c r="H94" s="140" t="s">
        <v>355</v>
      </c>
      <c r="J94" s="75">
        <f t="shared" si="2"/>
        <v>91</v>
      </c>
      <c r="K94" s="75"/>
    </row>
    <row r="95" spans="4:11" x14ac:dyDescent="0.2">
      <c r="D95" s="75">
        <f t="shared" si="3"/>
        <v>92</v>
      </c>
      <c r="E95" s="140" t="s">
        <v>356</v>
      </c>
      <c r="G95" s="75">
        <f t="shared" si="4"/>
        <v>92</v>
      </c>
      <c r="H95" s="140" t="s">
        <v>356</v>
      </c>
      <c r="J95" s="75">
        <f t="shared" si="2"/>
        <v>92</v>
      </c>
      <c r="K95" s="75"/>
    </row>
    <row r="96" spans="4:11" x14ac:dyDescent="0.2">
      <c r="D96" s="75">
        <f t="shared" si="3"/>
        <v>93</v>
      </c>
      <c r="E96" s="140" t="s">
        <v>357</v>
      </c>
      <c r="G96" s="75">
        <f t="shared" si="4"/>
        <v>93</v>
      </c>
      <c r="H96" s="140" t="s">
        <v>357</v>
      </c>
      <c r="J96" s="75">
        <f t="shared" si="2"/>
        <v>93</v>
      </c>
      <c r="K96" s="75"/>
    </row>
    <row r="97" spans="4:11" x14ac:dyDescent="0.2">
      <c r="D97" s="75">
        <f t="shared" si="3"/>
        <v>94</v>
      </c>
      <c r="E97" s="140" t="s">
        <v>358</v>
      </c>
      <c r="G97" s="75">
        <f t="shared" si="4"/>
        <v>94</v>
      </c>
      <c r="H97" s="140" t="s">
        <v>358</v>
      </c>
      <c r="J97" s="75">
        <f t="shared" si="2"/>
        <v>94</v>
      </c>
      <c r="K97" s="75"/>
    </row>
    <row r="98" spans="4:11" x14ac:dyDescent="0.2">
      <c r="D98" s="75">
        <f t="shared" si="3"/>
        <v>95</v>
      </c>
      <c r="E98" s="140" t="s">
        <v>359</v>
      </c>
      <c r="G98" s="75">
        <f t="shared" si="4"/>
        <v>95</v>
      </c>
      <c r="H98" s="140" t="s">
        <v>359</v>
      </c>
      <c r="J98" s="75">
        <f t="shared" si="2"/>
        <v>95</v>
      </c>
      <c r="K98" s="75"/>
    </row>
    <row r="99" spans="4:11" x14ac:dyDescent="0.2">
      <c r="D99" s="75">
        <f t="shared" si="3"/>
        <v>96</v>
      </c>
      <c r="E99" s="140" t="s">
        <v>360</v>
      </c>
      <c r="G99" s="75">
        <f t="shared" si="4"/>
        <v>96</v>
      </c>
      <c r="H99" s="140" t="s">
        <v>360</v>
      </c>
      <c r="J99" s="75">
        <f t="shared" si="2"/>
        <v>96</v>
      </c>
      <c r="K99" s="75"/>
    </row>
    <row r="100" spans="4:11" x14ac:dyDescent="0.2">
      <c r="D100" s="75">
        <f t="shared" si="3"/>
        <v>97</v>
      </c>
      <c r="E100" s="140" t="s">
        <v>361</v>
      </c>
      <c r="G100" s="75">
        <f t="shared" si="4"/>
        <v>97</v>
      </c>
      <c r="H100" s="140" t="s">
        <v>361</v>
      </c>
      <c r="J100" s="75">
        <f t="shared" si="2"/>
        <v>97</v>
      </c>
      <c r="K100" s="75"/>
    </row>
    <row r="101" spans="4:11" x14ac:dyDescent="0.2">
      <c r="D101" s="75">
        <f t="shared" si="3"/>
        <v>98</v>
      </c>
      <c r="E101" s="140" t="s">
        <v>362</v>
      </c>
      <c r="G101" s="75">
        <f t="shared" si="4"/>
        <v>98</v>
      </c>
      <c r="H101" s="140" t="s">
        <v>362</v>
      </c>
      <c r="J101" s="75">
        <f t="shared" si="2"/>
        <v>98</v>
      </c>
      <c r="K101" s="75"/>
    </row>
    <row r="102" spans="4:11" x14ac:dyDescent="0.2">
      <c r="D102" s="75">
        <f t="shared" si="3"/>
        <v>99</v>
      </c>
      <c r="E102" s="140" t="s">
        <v>363</v>
      </c>
      <c r="G102" s="75">
        <f t="shared" si="4"/>
        <v>99</v>
      </c>
      <c r="H102" s="140" t="s">
        <v>363</v>
      </c>
      <c r="J102" s="75">
        <f t="shared" si="2"/>
        <v>99</v>
      </c>
      <c r="K102" s="75"/>
    </row>
    <row r="103" spans="4:11" x14ac:dyDescent="0.2">
      <c r="D103" s="75">
        <f t="shared" si="3"/>
        <v>100</v>
      </c>
      <c r="E103" s="140" t="s">
        <v>364</v>
      </c>
      <c r="G103" s="75">
        <f t="shared" si="4"/>
        <v>100</v>
      </c>
      <c r="H103" s="140" t="s">
        <v>364</v>
      </c>
      <c r="J103" s="75">
        <f t="shared" si="2"/>
        <v>100</v>
      </c>
      <c r="K103" s="75"/>
    </row>
    <row r="104" spans="4:11" x14ac:dyDescent="0.2">
      <c r="D104" s="75">
        <f t="shared" si="3"/>
        <v>101</v>
      </c>
      <c r="E104" s="140" t="s">
        <v>365</v>
      </c>
      <c r="G104" s="75">
        <f t="shared" si="4"/>
        <v>101</v>
      </c>
      <c r="H104" s="140" t="s">
        <v>365</v>
      </c>
      <c r="J104" s="75">
        <f t="shared" si="2"/>
        <v>101</v>
      </c>
      <c r="K104" s="75"/>
    </row>
    <row r="105" spans="4:11" x14ac:dyDescent="0.2">
      <c r="D105" s="75">
        <f t="shared" si="3"/>
        <v>102</v>
      </c>
      <c r="E105" s="140" t="s">
        <v>366</v>
      </c>
      <c r="G105" s="75">
        <f t="shared" si="4"/>
        <v>102</v>
      </c>
      <c r="H105" s="140" t="s">
        <v>366</v>
      </c>
      <c r="J105" s="75">
        <f t="shared" si="2"/>
        <v>102</v>
      </c>
      <c r="K105" s="75"/>
    </row>
    <row r="106" spans="4:11" x14ac:dyDescent="0.2">
      <c r="D106" s="75">
        <f t="shared" si="3"/>
        <v>103</v>
      </c>
      <c r="E106" s="140" t="s">
        <v>367</v>
      </c>
      <c r="G106" s="75">
        <f t="shared" si="4"/>
        <v>103</v>
      </c>
      <c r="H106" s="140" t="s">
        <v>367</v>
      </c>
      <c r="J106" s="75">
        <f t="shared" si="2"/>
        <v>103</v>
      </c>
      <c r="K106" s="75"/>
    </row>
    <row r="107" spans="4:11" x14ac:dyDescent="0.2">
      <c r="D107" s="75">
        <f t="shared" si="3"/>
        <v>104</v>
      </c>
      <c r="E107" s="140" t="s">
        <v>368</v>
      </c>
      <c r="G107" s="75">
        <f t="shared" si="4"/>
        <v>104</v>
      </c>
      <c r="H107" s="140" t="s">
        <v>368</v>
      </c>
      <c r="J107" s="75">
        <f t="shared" si="2"/>
        <v>104</v>
      </c>
      <c r="K107" s="75"/>
    </row>
    <row r="108" spans="4:11" x14ac:dyDescent="0.2">
      <c r="D108" s="75">
        <f t="shared" si="3"/>
        <v>105</v>
      </c>
      <c r="E108" s="140" t="s">
        <v>369</v>
      </c>
      <c r="G108" s="75">
        <f t="shared" si="4"/>
        <v>105</v>
      </c>
      <c r="H108" s="140" t="s">
        <v>369</v>
      </c>
      <c r="J108" s="75">
        <f t="shared" si="2"/>
        <v>105</v>
      </c>
      <c r="K108" s="75"/>
    </row>
    <row r="109" spans="4:11" x14ac:dyDescent="0.2">
      <c r="D109" s="75">
        <f t="shared" si="3"/>
        <v>106</v>
      </c>
      <c r="E109" s="140" t="s">
        <v>370</v>
      </c>
      <c r="G109" s="75">
        <f t="shared" si="4"/>
        <v>106</v>
      </c>
      <c r="H109" s="140" t="s">
        <v>370</v>
      </c>
      <c r="J109" s="75">
        <f t="shared" si="2"/>
        <v>106</v>
      </c>
      <c r="K109" s="75"/>
    </row>
    <row r="110" spans="4:11" x14ac:dyDescent="0.2">
      <c r="D110" s="75">
        <f t="shared" si="3"/>
        <v>107</v>
      </c>
      <c r="E110" s="140" t="s">
        <v>371</v>
      </c>
      <c r="G110" s="75">
        <f t="shared" si="4"/>
        <v>107</v>
      </c>
      <c r="H110" s="140" t="s">
        <v>371</v>
      </c>
      <c r="J110" s="75">
        <f t="shared" si="2"/>
        <v>107</v>
      </c>
      <c r="K110" s="75"/>
    </row>
    <row r="111" spans="4:11" x14ac:dyDescent="0.2">
      <c r="D111" s="75">
        <f t="shared" si="3"/>
        <v>108</v>
      </c>
      <c r="E111" s="140" t="s">
        <v>372</v>
      </c>
      <c r="G111" s="75">
        <f t="shared" si="4"/>
        <v>108</v>
      </c>
      <c r="H111" s="140" t="s">
        <v>372</v>
      </c>
      <c r="J111" s="75">
        <f t="shared" si="2"/>
        <v>108</v>
      </c>
      <c r="K111" s="75"/>
    </row>
    <row r="112" spans="4:11" x14ac:dyDescent="0.2">
      <c r="D112" s="75">
        <f t="shared" si="3"/>
        <v>109</v>
      </c>
      <c r="E112" s="140" t="s">
        <v>373</v>
      </c>
      <c r="G112" s="75">
        <f t="shared" si="4"/>
        <v>109</v>
      </c>
      <c r="H112" s="140" t="s">
        <v>373</v>
      </c>
      <c r="J112" s="75">
        <f t="shared" si="2"/>
        <v>109</v>
      </c>
      <c r="K112" s="75"/>
    </row>
    <row r="113" spans="4:11" x14ac:dyDescent="0.2">
      <c r="D113" s="75">
        <f t="shared" si="3"/>
        <v>110</v>
      </c>
      <c r="E113" s="140" t="s">
        <v>374</v>
      </c>
      <c r="G113" s="75">
        <f t="shared" si="4"/>
        <v>110</v>
      </c>
      <c r="H113" s="140" t="s">
        <v>374</v>
      </c>
      <c r="J113" s="75">
        <f t="shared" si="2"/>
        <v>110</v>
      </c>
      <c r="K113" s="75"/>
    </row>
    <row r="114" spans="4:11" x14ac:dyDescent="0.2">
      <c r="D114" s="75">
        <f t="shared" si="3"/>
        <v>111</v>
      </c>
      <c r="E114" s="140" t="s">
        <v>375</v>
      </c>
      <c r="G114" s="75">
        <f t="shared" si="4"/>
        <v>111</v>
      </c>
      <c r="H114" s="140" t="s">
        <v>375</v>
      </c>
      <c r="J114" s="75">
        <f t="shared" si="2"/>
        <v>111</v>
      </c>
      <c r="K114" s="75"/>
    </row>
    <row r="115" spans="4:11" x14ac:dyDescent="0.2">
      <c r="D115" s="75">
        <f t="shared" si="3"/>
        <v>112</v>
      </c>
      <c r="E115" s="140" t="s">
        <v>376</v>
      </c>
      <c r="G115" s="75">
        <f t="shared" si="4"/>
        <v>112</v>
      </c>
      <c r="H115" s="140" t="s">
        <v>376</v>
      </c>
      <c r="J115" s="75">
        <f t="shared" si="2"/>
        <v>112</v>
      </c>
      <c r="K115" s="75"/>
    </row>
    <row r="116" spans="4:11" x14ac:dyDescent="0.2">
      <c r="D116" s="75">
        <f t="shared" si="3"/>
        <v>113</v>
      </c>
      <c r="E116" s="140" t="s">
        <v>377</v>
      </c>
      <c r="G116" s="75">
        <f t="shared" si="4"/>
        <v>113</v>
      </c>
      <c r="H116" s="140" t="s">
        <v>377</v>
      </c>
      <c r="J116" s="75">
        <f t="shared" si="2"/>
        <v>113</v>
      </c>
      <c r="K116" s="75"/>
    </row>
    <row r="117" spans="4:11" hidden="1" outlineLevel="1" x14ac:dyDescent="0.2">
      <c r="D117" s="75">
        <f t="shared" si="3"/>
        <v>114</v>
      </c>
      <c r="E117" s="140"/>
      <c r="G117" s="75">
        <f t="shared" si="4"/>
        <v>114</v>
      </c>
      <c r="H117" s="140"/>
      <c r="J117" s="75">
        <f t="shared" si="2"/>
        <v>114</v>
      </c>
      <c r="K117" s="75"/>
    </row>
    <row r="118" spans="4:11" hidden="1" outlineLevel="1" x14ac:dyDescent="0.2">
      <c r="D118" s="75">
        <f t="shared" si="3"/>
        <v>115</v>
      </c>
      <c r="E118" s="140"/>
      <c r="G118" s="75">
        <f t="shared" si="4"/>
        <v>115</v>
      </c>
      <c r="H118" s="140"/>
      <c r="J118" s="75">
        <f t="shared" si="2"/>
        <v>115</v>
      </c>
      <c r="K118" s="75"/>
    </row>
    <row r="119" spans="4:11" hidden="1" outlineLevel="1" x14ac:dyDescent="0.2">
      <c r="D119" s="75">
        <f t="shared" si="3"/>
        <v>116</v>
      </c>
      <c r="E119" s="140"/>
      <c r="G119" s="75">
        <f t="shared" si="4"/>
        <v>116</v>
      </c>
      <c r="H119" s="140"/>
      <c r="J119" s="75">
        <f t="shared" si="2"/>
        <v>116</v>
      </c>
      <c r="K119" s="75"/>
    </row>
    <row r="120" spans="4:11" hidden="1" outlineLevel="1" x14ac:dyDescent="0.2">
      <c r="D120" s="75">
        <f t="shared" si="3"/>
        <v>117</v>
      </c>
      <c r="E120" s="140"/>
      <c r="G120" s="75">
        <f t="shared" si="4"/>
        <v>117</v>
      </c>
      <c r="H120" s="140"/>
      <c r="J120" s="75">
        <f t="shared" si="2"/>
        <v>117</v>
      </c>
      <c r="K120" s="75"/>
    </row>
    <row r="121" spans="4:11" hidden="1" outlineLevel="1" x14ac:dyDescent="0.2">
      <c r="D121" s="75">
        <f t="shared" si="3"/>
        <v>118</v>
      </c>
      <c r="E121" s="140"/>
      <c r="G121" s="75">
        <f t="shared" si="4"/>
        <v>118</v>
      </c>
      <c r="H121" s="140"/>
      <c r="J121" s="75">
        <f t="shared" si="2"/>
        <v>118</v>
      </c>
      <c r="K121" s="75"/>
    </row>
    <row r="122" spans="4:11" hidden="1" outlineLevel="1" x14ac:dyDescent="0.2">
      <c r="D122" s="75">
        <f t="shared" si="3"/>
        <v>119</v>
      </c>
      <c r="E122" s="140"/>
      <c r="G122" s="75">
        <f t="shared" si="4"/>
        <v>119</v>
      </c>
      <c r="H122" s="140"/>
      <c r="J122" s="75">
        <f t="shared" si="2"/>
        <v>119</v>
      </c>
      <c r="K122" s="75"/>
    </row>
    <row r="123" spans="4:11" hidden="1" outlineLevel="1" x14ac:dyDescent="0.2">
      <c r="D123" s="75">
        <f t="shared" si="3"/>
        <v>120</v>
      </c>
      <c r="E123" s="140"/>
      <c r="G123" s="75">
        <f t="shared" si="4"/>
        <v>120</v>
      </c>
      <c r="H123" s="140"/>
      <c r="J123" s="75">
        <f t="shared" si="2"/>
        <v>120</v>
      </c>
      <c r="K123" s="75"/>
    </row>
    <row r="124" spans="4:11" hidden="1" outlineLevel="1" x14ac:dyDescent="0.2">
      <c r="D124" s="75">
        <f t="shared" si="3"/>
        <v>121</v>
      </c>
      <c r="E124" s="140"/>
      <c r="G124" s="75">
        <f t="shared" si="4"/>
        <v>121</v>
      </c>
      <c r="H124" s="140"/>
      <c r="J124" s="75">
        <f t="shared" si="2"/>
        <v>121</v>
      </c>
      <c r="K124" s="75"/>
    </row>
    <row r="125" spans="4:11" hidden="1" outlineLevel="1" x14ac:dyDescent="0.2">
      <c r="D125" s="75">
        <f t="shared" si="3"/>
        <v>122</v>
      </c>
      <c r="E125" s="140"/>
      <c r="G125" s="75">
        <f t="shared" si="4"/>
        <v>122</v>
      </c>
      <c r="H125" s="140"/>
      <c r="J125" s="75">
        <f t="shared" si="2"/>
        <v>122</v>
      </c>
      <c r="K125" s="75"/>
    </row>
    <row r="126" spans="4:11" hidden="1" outlineLevel="1" x14ac:dyDescent="0.2">
      <c r="D126" s="75">
        <f t="shared" si="3"/>
        <v>123</v>
      </c>
      <c r="E126" s="140"/>
      <c r="G126" s="75">
        <f t="shared" si="4"/>
        <v>123</v>
      </c>
      <c r="H126" s="140"/>
      <c r="J126" s="75">
        <f t="shared" si="2"/>
        <v>123</v>
      </c>
      <c r="K126" s="75"/>
    </row>
    <row r="127" spans="4:11" hidden="1" outlineLevel="1" x14ac:dyDescent="0.2">
      <c r="D127" s="75">
        <f t="shared" si="3"/>
        <v>124</v>
      </c>
      <c r="E127" s="140"/>
      <c r="G127" s="75">
        <f t="shared" si="4"/>
        <v>124</v>
      </c>
      <c r="H127" s="140"/>
      <c r="J127" s="75">
        <f t="shared" si="2"/>
        <v>124</v>
      </c>
      <c r="K127" s="75"/>
    </row>
    <row r="128" spans="4:11" hidden="1" outlineLevel="1" x14ac:dyDescent="0.2">
      <c r="D128" s="75">
        <f t="shared" si="3"/>
        <v>125</v>
      </c>
      <c r="E128" s="140"/>
      <c r="G128" s="75">
        <f t="shared" si="4"/>
        <v>125</v>
      </c>
      <c r="H128" s="140"/>
      <c r="J128" s="75">
        <f t="shared" si="2"/>
        <v>125</v>
      </c>
      <c r="K128" s="75"/>
    </row>
    <row r="129" spans="4:11" hidden="1" outlineLevel="1" x14ac:dyDescent="0.2">
      <c r="D129" s="75">
        <f t="shared" si="3"/>
        <v>126</v>
      </c>
      <c r="E129" s="140"/>
      <c r="G129" s="75">
        <f t="shared" si="4"/>
        <v>126</v>
      </c>
      <c r="H129" s="140"/>
      <c r="J129" s="75">
        <f t="shared" si="2"/>
        <v>126</v>
      </c>
      <c r="K129" s="75"/>
    </row>
    <row r="130" spans="4:11" hidden="1" outlineLevel="1" x14ac:dyDescent="0.2">
      <c r="D130" s="75">
        <f t="shared" si="3"/>
        <v>127</v>
      </c>
      <c r="E130" s="140"/>
      <c r="G130" s="75">
        <f t="shared" si="4"/>
        <v>127</v>
      </c>
      <c r="H130" s="140"/>
      <c r="J130" s="75">
        <f t="shared" si="2"/>
        <v>127</v>
      </c>
      <c r="K130" s="75"/>
    </row>
    <row r="131" spans="4:11" hidden="1" outlineLevel="1" x14ac:dyDescent="0.2">
      <c r="D131" s="75">
        <f t="shared" si="3"/>
        <v>128</v>
      </c>
      <c r="E131" s="140"/>
      <c r="G131" s="75">
        <f t="shared" si="4"/>
        <v>128</v>
      </c>
      <c r="H131" s="140"/>
      <c r="J131" s="75">
        <f t="shared" si="2"/>
        <v>128</v>
      </c>
      <c r="K131" s="75"/>
    </row>
    <row r="132" spans="4:11" hidden="1" outlineLevel="1" x14ac:dyDescent="0.2">
      <c r="D132" s="75">
        <f t="shared" si="3"/>
        <v>129</v>
      </c>
      <c r="E132" s="140"/>
      <c r="G132" s="75">
        <f t="shared" si="4"/>
        <v>129</v>
      </c>
      <c r="H132" s="140"/>
      <c r="J132" s="75">
        <f t="shared" si="2"/>
        <v>129</v>
      </c>
      <c r="K132" s="75"/>
    </row>
    <row r="133" spans="4:11" hidden="1" outlineLevel="1" x14ac:dyDescent="0.2">
      <c r="D133" s="75">
        <f t="shared" si="3"/>
        <v>130</v>
      </c>
      <c r="E133" s="140"/>
      <c r="G133" s="75">
        <f t="shared" si="4"/>
        <v>130</v>
      </c>
      <c r="H133" s="140"/>
      <c r="J133" s="75">
        <f t="shared" si="2"/>
        <v>130</v>
      </c>
      <c r="K133" s="75"/>
    </row>
    <row r="134" spans="4:11" hidden="1" outlineLevel="1" x14ac:dyDescent="0.2">
      <c r="D134" s="75">
        <f t="shared" si="3"/>
        <v>131</v>
      </c>
      <c r="E134" s="140"/>
      <c r="G134" s="75">
        <f t="shared" si="4"/>
        <v>131</v>
      </c>
      <c r="H134" s="140"/>
      <c r="J134" s="75">
        <f t="shared" ref="J134:J178" si="5">1+J133</f>
        <v>131</v>
      </c>
      <c r="K134" s="75"/>
    </row>
    <row r="135" spans="4:11" hidden="1" outlineLevel="1" x14ac:dyDescent="0.2">
      <c r="D135" s="75">
        <f t="shared" si="3"/>
        <v>132</v>
      </c>
      <c r="E135" s="140"/>
      <c r="G135" s="75">
        <f t="shared" si="4"/>
        <v>132</v>
      </c>
      <c r="H135" s="140"/>
      <c r="J135" s="75">
        <f t="shared" si="5"/>
        <v>132</v>
      </c>
      <c r="K135" s="75"/>
    </row>
    <row r="136" spans="4:11" hidden="1" outlineLevel="1" x14ac:dyDescent="0.2">
      <c r="D136" s="75">
        <f t="shared" si="3"/>
        <v>133</v>
      </c>
      <c r="E136" s="140"/>
      <c r="G136" s="75">
        <f t="shared" si="4"/>
        <v>133</v>
      </c>
      <c r="H136" s="140"/>
      <c r="J136" s="75">
        <f t="shared" si="5"/>
        <v>133</v>
      </c>
      <c r="K136" s="75"/>
    </row>
    <row r="137" spans="4:11" hidden="1" outlineLevel="1" x14ac:dyDescent="0.2">
      <c r="D137" s="75">
        <f t="shared" si="3"/>
        <v>134</v>
      </c>
      <c r="E137" s="140"/>
      <c r="G137" s="75">
        <f t="shared" si="4"/>
        <v>134</v>
      </c>
      <c r="H137" s="140"/>
      <c r="J137" s="75">
        <f t="shared" si="5"/>
        <v>134</v>
      </c>
      <c r="K137" s="75"/>
    </row>
    <row r="138" spans="4:11" hidden="1" outlineLevel="1" x14ac:dyDescent="0.2">
      <c r="D138" s="75">
        <f t="shared" ref="D138:D178" si="6">1+D137</f>
        <v>135</v>
      </c>
      <c r="E138" s="140"/>
      <c r="G138" s="75">
        <f t="shared" ref="G138:G178" si="7">G137+1</f>
        <v>135</v>
      </c>
      <c r="H138" s="140"/>
      <c r="J138" s="75">
        <f t="shared" si="5"/>
        <v>135</v>
      </c>
      <c r="K138" s="75"/>
    </row>
    <row r="139" spans="4:11" hidden="1" outlineLevel="1" x14ac:dyDescent="0.2">
      <c r="D139" s="75">
        <f t="shared" si="6"/>
        <v>136</v>
      </c>
      <c r="E139" s="140"/>
      <c r="G139" s="75">
        <f t="shared" si="7"/>
        <v>136</v>
      </c>
      <c r="H139" s="140"/>
      <c r="J139" s="75">
        <f t="shared" si="5"/>
        <v>136</v>
      </c>
      <c r="K139" s="75"/>
    </row>
    <row r="140" spans="4:11" hidden="1" outlineLevel="1" x14ac:dyDescent="0.2">
      <c r="D140" s="75">
        <f t="shared" si="6"/>
        <v>137</v>
      </c>
      <c r="E140" s="140"/>
      <c r="G140" s="75">
        <f t="shared" si="7"/>
        <v>137</v>
      </c>
      <c r="H140" s="140"/>
      <c r="J140" s="75">
        <f t="shared" si="5"/>
        <v>137</v>
      </c>
      <c r="K140" s="75"/>
    </row>
    <row r="141" spans="4:11" hidden="1" outlineLevel="1" x14ac:dyDescent="0.2">
      <c r="D141" s="75">
        <f t="shared" si="6"/>
        <v>138</v>
      </c>
      <c r="E141" s="140"/>
      <c r="G141" s="75">
        <f t="shared" si="7"/>
        <v>138</v>
      </c>
      <c r="H141" s="140"/>
      <c r="J141" s="75">
        <f t="shared" si="5"/>
        <v>138</v>
      </c>
      <c r="K141" s="75"/>
    </row>
    <row r="142" spans="4:11" hidden="1" outlineLevel="1" x14ac:dyDescent="0.2">
      <c r="D142" s="75">
        <f t="shared" si="6"/>
        <v>139</v>
      </c>
      <c r="E142" s="140"/>
      <c r="G142" s="75">
        <f t="shared" si="7"/>
        <v>139</v>
      </c>
      <c r="H142" s="140"/>
      <c r="J142" s="75">
        <f t="shared" si="5"/>
        <v>139</v>
      </c>
      <c r="K142" s="75"/>
    </row>
    <row r="143" spans="4:11" hidden="1" outlineLevel="1" x14ac:dyDescent="0.2">
      <c r="D143" s="75">
        <f t="shared" si="6"/>
        <v>140</v>
      </c>
      <c r="E143" s="140"/>
      <c r="G143" s="75">
        <f t="shared" si="7"/>
        <v>140</v>
      </c>
      <c r="H143" s="140"/>
      <c r="J143" s="75">
        <f t="shared" si="5"/>
        <v>140</v>
      </c>
      <c r="K143" s="75"/>
    </row>
    <row r="144" spans="4:11" hidden="1" outlineLevel="1" x14ac:dyDescent="0.2">
      <c r="D144" s="75">
        <f t="shared" si="6"/>
        <v>141</v>
      </c>
      <c r="E144" s="140"/>
      <c r="G144" s="75">
        <f t="shared" si="7"/>
        <v>141</v>
      </c>
      <c r="H144" s="140"/>
      <c r="J144" s="75">
        <f t="shared" si="5"/>
        <v>141</v>
      </c>
      <c r="K144" s="75"/>
    </row>
    <row r="145" spans="4:11" hidden="1" outlineLevel="1" x14ac:dyDescent="0.2">
      <c r="D145" s="75">
        <f t="shared" si="6"/>
        <v>142</v>
      </c>
      <c r="E145" s="140"/>
      <c r="G145" s="75">
        <f t="shared" si="7"/>
        <v>142</v>
      </c>
      <c r="H145" s="140"/>
      <c r="J145" s="75">
        <f t="shared" si="5"/>
        <v>142</v>
      </c>
      <c r="K145" s="75"/>
    </row>
    <row r="146" spans="4:11" hidden="1" outlineLevel="1" x14ac:dyDescent="0.2">
      <c r="D146" s="75">
        <f t="shared" si="6"/>
        <v>143</v>
      </c>
      <c r="E146" s="140"/>
      <c r="G146" s="75">
        <f t="shared" si="7"/>
        <v>143</v>
      </c>
      <c r="H146" s="140"/>
      <c r="J146" s="75">
        <f t="shared" si="5"/>
        <v>143</v>
      </c>
      <c r="K146" s="75"/>
    </row>
    <row r="147" spans="4:11" hidden="1" outlineLevel="1" x14ac:dyDescent="0.2">
      <c r="D147" s="75">
        <f t="shared" si="6"/>
        <v>144</v>
      </c>
      <c r="E147" s="140"/>
      <c r="G147" s="75">
        <f t="shared" si="7"/>
        <v>144</v>
      </c>
      <c r="H147" s="140"/>
      <c r="J147" s="75">
        <f t="shared" si="5"/>
        <v>144</v>
      </c>
      <c r="K147" s="75"/>
    </row>
    <row r="148" spans="4:11" hidden="1" outlineLevel="1" x14ac:dyDescent="0.2">
      <c r="D148" s="75">
        <f t="shared" si="6"/>
        <v>145</v>
      </c>
      <c r="E148" s="140"/>
      <c r="G148" s="75">
        <f t="shared" si="7"/>
        <v>145</v>
      </c>
      <c r="H148" s="140"/>
      <c r="J148" s="75">
        <f t="shared" si="5"/>
        <v>145</v>
      </c>
      <c r="K148" s="75"/>
    </row>
    <row r="149" spans="4:11" hidden="1" outlineLevel="1" x14ac:dyDescent="0.2">
      <c r="D149" s="75">
        <f t="shared" si="6"/>
        <v>146</v>
      </c>
      <c r="E149" s="140"/>
      <c r="G149" s="75">
        <f t="shared" si="7"/>
        <v>146</v>
      </c>
      <c r="H149" s="140"/>
      <c r="J149" s="75">
        <f t="shared" si="5"/>
        <v>146</v>
      </c>
      <c r="K149" s="75"/>
    </row>
    <row r="150" spans="4:11" hidden="1" outlineLevel="1" x14ac:dyDescent="0.2">
      <c r="D150" s="75">
        <f t="shared" si="6"/>
        <v>147</v>
      </c>
      <c r="E150" s="140"/>
      <c r="G150" s="75">
        <f t="shared" si="7"/>
        <v>147</v>
      </c>
      <c r="H150" s="140"/>
      <c r="J150" s="75">
        <f t="shared" si="5"/>
        <v>147</v>
      </c>
      <c r="K150" s="75"/>
    </row>
    <row r="151" spans="4:11" hidden="1" outlineLevel="1" x14ac:dyDescent="0.2">
      <c r="D151" s="75">
        <f t="shared" si="6"/>
        <v>148</v>
      </c>
      <c r="E151" s="140"/>
      <c r="G151" s="75">
        <f t="shared" si="7"/>
        <v>148</v>
      </c>
      <c r="H151" s="140"/>
      <c r="J151" s="75">
        <f t="shared" si="5"/>
        <v>148</v>
      </c>
      <c r="K151" s="75"/>
    </row>
    <row r="152" spans="4:11" hidden="1" outlineLevel="1" x14ac:dyDescent="0.2">
      <c r="D152" s="75">
        <f t="shared" si="6"/>
        <v>149</v>
      </c>
      <c r="E152" s="140"/>
      <c r="G152" s="75">
        <f t="shared" si="7"/>
        <v>149</v>
      </c>
      <c r="H152" s="140"/>
      <c r="J152" s="75">
        <f t="shared" si="5"/>
        <v>149</v>
      </c>
      <c r="K152" s="75"/>
    </row>
    <row r="153" spans="4:11" hidden="1" outlineLevel="1" x14ac:dyDescent="0.2">
      <c r="D153" s="75">
        <f t="shared" si="6"/>
        <v>150</v>
      </c>
      <c r="E153" s="140"/>
      <c r="G153" s="75">
        <f t="shared" si="7"/>
        <v>150</v>
      </c>
      <c r="H153" s="140"/>
      <c r="J153" s="75">
        <f t="shared" si="5"/>
        <v>150</v>
      </c>
      <c r="K153" s="75"/>
    </row>
    <row r="154" spans="4:11" hidden="1" outlineLevel="1" x14ac:dyDescent="0.2">
      <c r="D154" s="75">
        <f t="shared" si="6"/>
        <v>151</v>
      </c>
      <c r="E154" s="140"/>
      <c r="G154" s="75">
        <f t="shared" si="7"/>
        <v>151</v>
      </c>
      <c r="H154" s="140"/>
      <c r="J154" s="75">
        <f t="shared" si="5"/>
        <v>151</v>
      </c>
      <c r="K154" s="75"/>
    </row>
    <row r="155" spans="4:11" hidden="1" outlineLevel="1" x14ac:dyDescent="0.2">
      <c r="D155" s="75">
        <f t="shared" si="6"/>
        <v>152</v>
      </c>
      <c r="E155" s="140"/>
      <c r="G155" s="75">
        <f t="shared" si="7"/>
        <v>152</v>
      </c>
      <c r="H155" s="140"/>
      <c r="J155" s="75">
        <f t="shared" si="5"/>
        <v>152</v>
      </c>
      <c r="K155" s="75"/>
    </row>
    <row r="156" spans="4:11" hidden="1" outlineLevel="1" x14ac:dyDescent="0.2">
      <c r="D156" s="75">
        <f t="shared" si="6"/>
        <v>153</v>
      </c>
      <c r="E156" s="140"/>
      <c r="G156" s="75">
        <f t="shared" si="7"/>
        <v>153</v>
      </c>
      <c r="H156" s="140"/>
      <c r="J156" s="75">
        <f t="shared" si="5"/>
        <v>153</v>
      </c>
      <c r="K156" s="75"/>
    </row>
    <row r="157" spans="4:11" hidden="1" outlineLevel="1" x14ac:dyDescent="0.2">
      <c r="D157" s="75">
        <f t="shared" si="6"/>
        <v>154</v>
      </c>
      <c r="E157" s="140"/>
      <c r="G157" s="75">
        <f t="shared" si="7"/>
        <v>154</v>
      </c>
      <c r="H157" s="140"/>
      <c r="J157" s="75">
        <f t="shared" si="5"/>
        <v>154</v>
      </c>
      <c r="K157" s="75"/>
    </row>
    <row r="158" spans="4:11" hidden="1" outlineLevel="1" x14ac:dyDescent="0.2">
      <c r="D158" s="75">
        <f t="shared" si="6"/>
        <v>155</v>
      </c>
      <c r="E158" s="140"/>
      <c r="G158" s="75">
        <f t="shared" si="7"/>
        <v>155</v>
      </c>
      <c r="H158" s="140"/>
      <c r="J158" s="75">
        <f t="shared" si="5"/>
        <v>155</v>
      </c>
      <c r="K158" s="75"/>
    </row>
    <row r="159" spans="4:11" hidden="1" outlineLevel="1" x14ac:dyDescent="0.2">
      <c r="D159" s="75">
        <f t="shared" si="6"/>
        <v>156</v>
      </c>
      <c r="E159" s="140"/>
      <c r="G159" s="75">
        <f t="shared" si="7"/>
        <v>156</v>
      </c>
      <c r="H159" s="140"/>
      <c r="J159" s="75">
        <f t="shared" si="5"/>
        <v>156</v>
      </c>
      <c r="K159" s="75"/>
    </row>
    <row r="160" spans="4:11" hidden="1" outlineLevel="1" x14ac:dyDescent="0.2">
      <c r="D160" s="75">
        <f t="shared" si="6"/>
        <v>157</v>
      </c>
      <c r="E160" s="140"/>
      <c r="G160" s="75">
        <f t="shared" si="7"/>
        <v>157</v>
      </c>
      <c r="H160" s="140"/>
      <c r="J160" s="75">
        <f t="shared" si="5"/>
        <v>157</v>
      </c>
      <c r="K160" s="75"/>
    </row>
    <row r="161" spans="4:11" hidden="1" outlineLevel="1" x14ac:dyDescent="0.2">
      <c r="D161" s="75">
        <f t="shared" si="6"/>
        <v>158</v>
      </c>
      <c r="E161" s="140"/>
      <c r="G161" s="75">
        <f t="shared" si="7"/>
        <v>158</v>
      </c>
      <c r="H161" s="140"/>
      <c r="J161" s="75">
        <f t="shared" si="5"/>
        <v>158</v>
      </c>
      <c r="K161" s="75"/>
    </row>
    <row r="162" spans="4:11" hidden="1" outlineLevel="1" x14ac:dyDescent="0.2">
      <c r="D162" s="75">
        <f t="shared" si="6"/>
        <v>159</v>
      </c>
      <c r="E162" s="140"/>
      <c r="G162" s="75">
        <f t="shared" si="7"/>
        <v>159</v>
      </c>
      <c r="H162" s="140"/>
      <c r="J162" s="75">
        <f t="shared" si="5"/>
        <v>159</v>
      </c>
      <c r="K162" s="75"/>
    </row>
    <row r="163" spans="4:11" hidden="1" outlineLevel="1" x14ac:dyDescent="0.2">
      <c r="D163" s="75">
        <f t="shared" si="6"/>
        <v>160</v>
      </c>
      <c r="E163" s="140"/>
      <c r="G163" s="75">
        <f t="shared" si="7"/>
        <v>160</v>
      </c>
      <c r="H163" s="140"/>
      <c r="J163" s="75">
        <f t="shared" si="5"/>
        <v>160</v>
      </c>
      <c r="K163" s="75"/>
    </row>
    <row r="164" spans="4:11" hidden="1" outlineLevel="1" x14ac:dyDescent="0.2">
      <c r="D164" s="75">
        <f t="shared" si="6"/>
        <v>161</v>
      </c>
      <c r="E164" s="140"/>
      <c r="G164" s="75">
        <f t="shared" si="7"/>
        <v>161</v>
      </c>
      <c r="H164" s="140"/>
      <c r="J164" s="75">
        <f t="shared" si="5"/>
        <v>161</v>
      </c>
      <c r="K164" s="75"/>
    </row>
    <row r="165" spans="4:11" hidden="1" outlineLevel="1" x14ac:dyDescent="0.2">
      <c r="D165" s="75">
        <f t="shared" si="6"/>
        <v>162</v>
      </c>
      <c r="E165" s="140"/>
      <c r="G165" s="75">
        <f t="shared" si="7"/>
        <v>162</v>
      </c>
      <c r="H165" s="140"/>
      <c r="J165" s="75">
        <f t="shared" si="5"/>
        <v>162</v>
      </c>
      <c r="K165" s="75"/>
    </row>
    <row r="166" spans="4:11" hidden="1" outlineLevel="1" x14ac:dyDescent="0.2">
      <c r="D166" s="75">
        <f t="shared" si="6"/>
        <v>163</v>
      </c>
      <c r="E166" s="140"/>
      <c r="G166" s="75">
        <f t="shared" si="7"/>
        <v>163</v>
      </c>
      <c r="H166" s="140"/>
      <c r="J166" s="75">
        <f t="shared" si="5"/>
        <v>163</v>
      </c>
      <c r="K166" s="75"/>
    </row>
    <row r="167" spans="4:11" hidden="1" outlineLevel="1" x14ac:dyDescent="0.2">
      <c r="D167" s="75">
        <f t="shared" si="6"/>
        <v>164</v>
      </c>
      <c r="E167" s="140"/>
      <c r="G167" s="75">
        <f t="shared" si="7"/>
        <v>164</v>
      </c>
      <c r="H167" s="140"/>
      <c r="J167" s="75">
        <f t="shared" si="5"/>
        <v>164</v>
      </c>
      <c r="K167" s="75"/>
    </row>
    <row r="168" spans="4:11" hidden="1" outlineLevel="1" x14ac:dyDescent="0.2">
      <c r="D168" s="75">
        <f t="shared" si="6"/>
        <v>165</v>
      </c>
      <c r="E168" s="140"/>
      <c r="G168" s="75">
        <f t="shared" si="7"/>
        <v>165</v>
      </c>
      <c r="H168" s="140"/>
      <c r="J168" s="75">
        <f t="shared" si="5"/>
        <v>165</v>
      </c>
      <c r="K168" s="75"/>
    </row>
    <row r="169" spans="4:11" hidden="1" outlineLevel="1" x14ac:dyDescent="0.2">
      <c r="D169" s="75">
        <f t="shared" si="6"/>
        <v>166</v>
      </c>
      <c r="E169" s="140"/>
      <c r="G169" s="75">
        <f t="shared" si="7"/>
        <v>166</v>
      </c>
      <c r="H169" s="140"/>
      <c r="J169" s="75">
        <f t="shared" si="5"/>
        <v>166</v>
      </c>
      <c r="K169" s="75"/>
    </row>
    <row r="170" spans="4:11" hidden="1" outlineLevel="1" x14ac:dyDescent="0.2">
      <c r="D170" s="75">
        <f t="shared" si="6"/>
        <v>167</v>
      </c>
      <c r="E170" s="140"/>
      <c r="G170" s="75">
        <f t="shared" si="7"/>
        <v>167</v>
      </c>
      <c r="H170" s="140"/>
      <c r="J170" s="75">
        <f t="shared" si="5"/>
        <v>167</v>
      </c>
      <c r="K170" s="75"/>
    </row>
    <row r="171" spans="4:11" hidden="1" outlineLevel="1" x14ac:dyDescent="0.2">
      <c r="D171" s="75">
        <f t="shared" si="6"/>
        <v>168</v>
      </c>
      <c r="E171" s="140"/>
      <c r="G171" s="75">
        <f t="shared" si="7"/>
        <v>168</v>
      </c>
      <c r="H171" s="140"/>
      <c r="J171" s="75">
        <f t="shared" si="5"/>
        <v>168</v>
      </c>
      <c r="K171" s="75"/>
    </row>
    <row r="172" spans="4:11" hidden="1" outlineLevel="1" x14ac:dyDescent="0.2">
      <c r="D172" s="75">
        <f t="shared" si="6"/>
        <v>169</v>
      </c>
      <c r="E172" s="140"/>
      <c r="G172" s="75">
        <f t="shared" si="7"/>
        <v>169</v>
      </c>
      <c r="H172" s="140"/>
      <c r="J172" s="75">
        <f t="shared" si="5"/>
        <v>169</v>
      </c>
      <c r="K172" s="75"/>
    </row>
    <row r="173" spans="4:11" hidden="1" outlineLevel="1" x14ac:dyDescent="0.2">
      <c r="D173" s="75">
        <f t="shared" si="6"/>
        <v>170</v>
      </c>
      <c r="E173" s="140"/>
      <c r="G173" s="75">
        <f t="shared" si="7"/>
        <v>170</v>
      </c>
      <c r="H173" s="140"/>
      <c r="J173" s="75">
        <f t="shared" si="5"/>
        <v>170</v>
      </c>
      <c r="K173" s="75"/>
    </row>
    <row r="174" spans="4:11" hidden="1" outlineLevel="1" x14ac:dyDescent="0.2">
      <c r="D174" s="75">
        <f t="shared" si="6"/>
        <v>171</v>
      </c>
      <c r="E174" s="140"/>
      <c r="G174" s="75">
        <f t="shared" si="7"/>
        <v>171</v>
      </c>
      <c r="H174" s="140"/>
      <c r="J174" s="75">
        <f t="shared" si="5"/>
        <v>171</v>
      </c>
      <c r="K174" s="75"/>
    </row>
    <row r="175" spans="4:11" hidden="1" outlineLevel="1" x14ac:dyDescent="0.2">
      <c r="D175" s="75">
        <f t="shared" si="6"/>
        <v>172</v>
      </c>
      <c r="E175" s="140"/>
      <c r="G175" s="75">
        <f t="shared" si="7"/>
        <v>172</v>
      </c>
      <c r="H175" s="140"/>
      <c r="J175" s="75">
        <f t="shared" si="5"/>
        <v>172</v>
      </c>
      <c r="K175" s="75"/>
    </row>
    <row r="176" spans="4:11" hidden="1" outlineLevel="1" x14ac:dyDescent="0.2">
      <c r="D176" s="75">
        <f t="shared" si="6"/>
        <v>173</v>
      </c>
      <c r="E176" s="140"/>
      <c r="G176" s="75">
        <f t="shared" si="7"/>
        <v>173</v>
      </c>
      <c r="H176" s="140"/>
      <c r="J176" s="75">
        <f t="shared" si="5"/>
        <v>173</v>
      </c>
      <c r="K176" s="75"/>
    </row>
    <row r="177" spans="4:11" hidden="1" outlineLevel="1" x14ac:dyDescent="0.2">
      <c r="D177" s="75">
        <f t="shared" si="6"/>
        <v>174</v>
      </c>
      <c r="E177" s="140"/>
      <c r="G177" s="75">
        <f t="shared" si="7"/>
        <v>174</v>
      </c>
      <c r="H177" s="140"/>
      <c r="J177" s="75">
        <f t="shared" si="5"/>
        <v>174</v>
      </c>
      <c r="K177" s="75"/>
    </row>
    <row r="178" spans="4:11" hidden="1" outlineLevel="1" x14ac:dyDescent="0.2">
      <c r="D178" s="75">
        <f t="shared" si="6"/>
        <v>175</v>
      </c>
      <c r="E178" s="140"/>
      <c r="G178" s="75">
        <f t="shared" si="7"/>
        <v>175</v>
      </c>
      <c r="H178" s="140"/>
      <c r="J178" s="75">
        <f t="shared" si="5"/>
        <v>175</v>
      </c>
      <c r="K178" s="75"/>
    </row>
    <row r="179" spans="4:11" collapsed="1" x14ac:dyDescent="0.2">
      <c r="E179" s="179" t="s">
        <v>131</v>
      </c>
      <c r="H179" s="179" t="s">
        <v>380</v>
      </c>
      <c r="K179" s="179" t="s">
        <v>379</v>
      </c>
    </row>
  </sheetData>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ignoredErrors>
    <ignoredError sqref="D179:E179 B50:C55 B5:D5 B14:D39 C56 B57:C59 B40:C42 F5:G41 F50:F59 F42 L50:L59 B13 D10:D13 D40:D78 J4:J78 G73:G78 C6:D9 B6:B7 D79:D178 G79:G178 J79:J178"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BA73"/>
  <sheetViews>
    <sheetView showGridLines="0" zoomScale="115" zoomScaleNormal="115" workbookViewId="0">
      <pane xSplit="7" ySplit="2" topLeftCell="H3" activePane="bottomRight" state="frozen"/>
      <selection pane="topRight" activeCell="H1" sqref="H1"/>
      <selection pane="bottomLeft" activeCell="A3" sqref="A3"/>
      <selection pane="bottomRight" sqref="A1:XFD1048576"/>
    </sheetView>
  </sheetViews>
  <sheetFormatPr baseColWidth="10" defaultRowHeight="12" x14ac:dyDescent="0.2"/>
  <cols>
    <col min="1" max="1" width="6.7109375" customWidth="1"/>
    <col min="2" max="2" width="5.5703125" customWidth="1"/>
    <col min="3" max="4" width="4.7109375" customWidth="1"/>
    <col min="5" max="5" width="17.28515625" customWidth="1"/>
    <col min="6" max="6" width="18.28515625" customWidth="1"/>
    <col min="7" max="7" width="19.7109375" customWidth="1"/>
    <col min="8" max="8" width="14.42578125" customWidth="1"/>
    <col min="9" max="9" width="10.28515625" customWidth="1"/>
    <col min="10" max="10" width="12.7109375" customWidth="1"/>
    <col min="12" max="12" width="12" customWidth="1"/>
  </cols>
  <sheetData>
    <row r="1" spans="1:53" s="71" customFormat="1" ht="33.75" customHeight="1" x14ac:dyDescent="0.2">
      <c r="C1" s="71" t="s">
        <v>205</v>
      </c>
    </row>
    <row r="2" spans="1:53" x14ac:dyDescent="0.2">
      <c r="C2" s="58"/>
      <c r="D2" s="58" t="s">
        <v>134</v>
      </c>
      <c r="E2" s="1"/>
      <c r="F2" s="1"/>
      <c r="G2" s="1"/>
      <c r="H2" s="1" t="s">
        <v>135</v>
      </c>
      <c r="I2" s="1"/>
      <c r="J2" s="1" t="s">
        <v>136</v>
      </c>
      <c r="K2" s="1"/>
      <c r="L2" s="1" t="s">
        <v>137</v>
      </c>
      <c r="M2" s="1"/>
      <c r="N2" s="1"/>
      <c r="O2" s="1"/>
      <c r="P2" s="1"/>
      <c r="Q2" s="1"/>
      <c r="R2" s="1"/>
      <c r="S2" s="1"/>
      <c r="T2" s="1"/>
      <c r="U2" s="1"/>
      <c r="V2" s="1"/>
      <c r="W2" s="1"/>
      <c r="X2" s="1"/>
      <c r="Y2" s="1"/>
      <c r="Z2" s="1"/>
      <c r="AA2" s="1"/>
      <c r="AB2" s="1"/>
      <c r="AC2" s="1"/>
    </row>
    <row r="3" spans="1:53" x14ac:dyDescent="0.2">
      <c r="A3" s="76">
        <v>1</v>
      </c>
      <c r="B3" s="76" t="s">
        <v>203</v>
      </c>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row>
    <row r="5" spans="1:53" x14ac:dyDescent="0.2">
      <c r="C5" s="73">
        <v>1</v>
      </c>
      <c r="D5" s="78" t="s">
        <v>252</v>
      </c>
    </row>
    <row r="6" spans="1:53" x14ac:dyDescent="0.2">
      <c r="D6" s="79" t="s">
        <v>203</v>
      </c>
      <c r="H6" s="61" t="s">
        <v>204</v>
      </c>
      <c r="I6" s="74">
        <v>2023</v>
      </c>
      <c r="J6" s="41" t="s">
        <v>128</v>
      </c>
    </row>
    <row r="8" spans="1:53" x14ac:dyDescent="0.2">
      <c r="A8" s="76">
        <v>2</v>
      </c>
      <c r="B8" s="76" t="s">
        <v>167</v>
      </c>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row>
    <row r="9" spans="1:53" x14ac:dyDescent="0.2">
      <c r="N9" s="268"/>
      <c r="O9" s="268"/>
      <c r="P9" s="268"/>
      <c r="Q9" s="268"/>
      <c r="R9" s="268"/>
      <c r="S9" s="268"/>
      <c r="T9" s="268"/>
      <c r="U9" s="268"/>
      <c r="V9" s="268"/>
      <c r="W9" s="142"/>
      <c r="X9" s="269"/>
      <c r="Y9" s="269"/>
      <c r="Z9" s="269"/>
      <c r="AA9" s="269"/>
      <c r="AB9" s="269"/>
      <c r="AC9" s="269"/>
    </row>
    <row r="10" spans="1:53" x14ac:dyDescent="0.2">
      <c r="C10" s="73">
        <v>1</v>
      </c>
      <c r="D10" s="78" t="s">
        <v>153</v>
      </c>
    </row>
    <row r="11" spans="1:53" x14ac:dyDescent="0.2">
      <c r="D11" s="79" t="s">
        <v>152</v>
      </c>
      <c r="H11" s="61" t="s">
        <v>138</v>
      </c>
      <c r="I11" s="175">
        <v>2.1333333333333333E-2</v>
      </c>
      <c r="J11" s="41" t="s">
        <v>171</v>
      </c>
      <c r="L11" s="78" t="s">
        <v>443</v>
      </c>
    </row>
    <row r="12" spans="1:53" x14ac:dyDescent="0.2">
      <c r="L12" s="95"/>
    </row>
    <row r="13" spans="1:53" x14ac:dyDescent="0.2">
      <c r="C13" s="72">
        <f>C10+1</f>
        <v>2</v>
      </c>
      <c r="D13" s="78" t="s">
        <v>154</v>
      </c>
      <c r="L13" s="269"/>
      <c r="M13" s="269"/>
      <c r="N13" s="269"/>
      <c r="O13" s="269"/>
      <c r="P13" s="269"/>
      <c r="Q13" s="269"/>
      <c r="R13" s="269"/>
      <c r="S13" s="269"/>
      <c r="T13" s="269"/>
      <c r="U13" s="269"/>
    </row>
    <row r="14" spans="1:53" x14ac:dyDescent="0.2">
      <c r="D14" s="79" t="s">
        <v>175</v>
      </c>
      <c r="H14" s="61" t="s">
        <v>138</v>
      </c>
      <c r="I14" s="256">
        <v>2.9999999999999997E-4</v>
      </c>
      <c r="J14" s="41" t="s">
        <v>172</v>
      </c>
      <c r="L14" s="142" t="s">
        <v>431</v>
      </c>
    </row>
    <row r="16" spans="1:53" x14ac:dyDescent="0.2">
      <c r="C16" s="72">
        <f>C13+1</f>
        <v>3</v>
      </c>
      <c r="D16" s="78" t="s">
        <v>155</v>
      </c>
      <c r="L16" s="269"/>
      <c r="M16" s="269"/>
      <c r="N16" s="269"/>
      <c r="O16" s="269"/>
      <c r="P16" s="269"/>
      <c r="Q16" s="269"/>
      <c r="R16" s="269"/>
      <c r="S16" s="269"/>
      <c r="T16" s="269"/>
      <c r="U16" s="269"/>
    </row>
    <row r="17" spans="3:36" x14ac:dyDescent="0.2">
      <c r="D17" s="79" t="s">
        <v>174</v>
      </c>
      <c r="H17" s="61" t="s">
        <v>138</v>
      </c>
      <c r="I17" s="256">
        <v>6.3E-3</v>
      </c>
      <c r="J17" s="41" t="s">
        <v>173</v>
      </c>
      <c r="L17" s="142" t="s">
        <v>472</v>
      </c>
    </row>
    <row r="19" spans="3:36" x14ac:dyDescent="0.2">
      <c r="C19" s="72">
        <f>C16+1</f>
        <v>4</v>
      </c>
      <c r="D19" s="78" t="s">
        <v>161</v>
      </c>
    </row>
    <row r="20" spans="3:36" x14ac:dyDescent="0.2">
      <c r="D20" s="79" t="s">
        <v>156</v>
      </c>
    </row>
    <row r="21" spans="3:36" x14ac:dyDescent="0.2">
      <c r="D21" s="94"/>
      <c r="H21" s="61" t="s">
        <v>159</v>
      </c>
      <c r="I21" s="257">
        <v>91</v>
      </c>
      <c r="J21" s="41" t="s">
        <v>427</v>
      </c>
      <c r="L21" s="142" t="s">
        <v>429</v>
      </c>
    </row>
    <row r="23" spans="3:36" x14ac:dyDescent="0.2">
      <c r="D23" s="79" t="s">
        <v>176</v>
      </c>
      <c r="H23" s="61"/>
    </row>
    <row r="24" spans="3:36" x14ac:dyDescent="0.2">
      <c r="D24" s="94" t="s">
        <v>430</v>
      </c>
      <c r="H24" s="61" t="s">
        <v>138</v>
      </c>
      <c r="I24" s="256">
        <v>3.5000000000000003E-2</v>
      </c>
      <c r="J24" s="187" t="s">
        <v>445</v>
      </c>
      <c r="K24" s="186"/>
      <c r="L24" s="142" t="s">
        <v>431</v>
      </c>
    </row>
    <row r="25" spans="3:36" x14ac:dyDescent="0.2">
      <c r="I25" s="186"/>
      <c r="J25" s="185"/>
      <c r="K25" s="186"/>
      <c r="L25" s="142"/>
      <c r="M25" s="153"/>
    </row>
    <row r="26" spans="3:36" x14ac:dyDescent="0.2">
      <c r="C26" s="72">
        <f>C19+1</f>
        <v>5</v>
      </c>
      <c r="D26" s="78" t="s">
        <v>160</v>
      </c>
      <c r="I26" s="130"/>
      <c r="J26" s="114"/>
      <c r="L26" s="269"/>
      <c r="M26" s="269"/>
      <c r="N26" s="269"/>
      <c r="O26" s="269"/>
      <c r="P26" s="269"/>
      <c r="Q26" s="269"/>
      <c r="R26" s="269"/>
      <c r="S26" s="269"/>
      <c r="T26" s="269"/>
      <c r="U26" s="269"/>
    </row>
    <row r="27" spans="3:36" x14ac:dyDescent="0.2">
      <c r="D27" s="79" t="s">
        <v>169</v>
      </c>
      <c r="J27" s="114"/>
    </row>
    <row r="28" spans="3:36" x14ac:dyDescent="0.2">
      <c r="D28" s="94" t="s">
        <v>433</v>
      </c>
      <c r="H28" s="61" t="s">
        <v>162</v>
      </c>
      <c r="I28" s="258">
        <v>332</v>
      </c>
      <c r="J28" s="41" t="s">
        <v>444</v>
      </c>
      <c r="L28" s="142" t="s">
        <v>431</v>
      </c>
    </row>
    <row r="29" spans="3:36" x14ac:dyDescent="0.2">
      <c r="D29" s="93"/>
      <c r="L29" s="78"/>
    </row>
    <row r="30" spans="3:36" x14ac:dyDescent="0.2">
      <c r="D30" s="79" t="s">
        <v>177</v>
      </c>
      <c r="H30" s="61" t="s">
        <v>163</v>
      </c>
      <c r="I30" s="259">
        <v>27113</v>
      </c>
      <c r="J30" s="41" t="s">
        <v>164</v>
      </c>
      <c r="L30" s="142" t="s">
        <v>431</v>
      </c>
      <c r="N30" s="204"/>
    </row>
    <row r="31" spans="3:36" x14ac:dyDescent="0.2">
      <c r="J31" s="177"/>
    </row>
    <row r="32" spans="3:36" x14ac:dyDescent="0.2">
      <c r="C32" s="72">
        <f>C26+1</f>
        <v>6</v>
      </c>
      <c r="D32" s="78" t="s">
        <v>165</v>
      </c>
      <c r="O32" s="135"/>
      <c r="Q32" s="142"/>
      <c r="R32" s="142"/>
      <c r="S32" s="142"/>
      <c r="T32" s="142"/>
      <c r="U32" s="142"/>
      <c r="V32" s="142"/>
      <c r="W32" s="142"/>
      <c r="X32" s="142"/>
      <c r="Y32" s="142"/>
      <c r="Z32" s="142"/>
      <c r="AA32" s="142"/>
      <c r="AB32" s="142"/>
      <c r="AC32" s="142"/>
      <c r="AD32" s="142"/>
      <c r="AE32" s="142"/>
      <c r="AF32" s="142"/>
      <c r="AG32" s="142"/>
      <c r="AH32" s="142"/>
      <c r="AI32" s="142"/>
      <c r="AJ32" s="142"/>
    </row>
    <row r="33" spans="1:53" ht="13.5" x14ac:dyDescent="0.2">
      <c r="D33" t="s">
        <v>182</v>
      </c>
      <c r="H33" s="61" t="s">
        <v>183</v>
      </c>
      <c r="I33" s="260">
        <v>69</v>
      </c>
      <c r="J33" s="41" t="s">
        <v>184</v>
      </c>
      <c r="L33" s="142" t="s">
        <v>431</v>
      </c>
      <c r="Q33" s="269"/>
      <c r="R33" s="269"/>
      <c r="S33" s="269"/>
      <c r="T33" s="269"/>
      <c r="U33" s="269"/>
      <c r="V33" s="269"/>
      <c r="W33" s="269"/>
      <c r="X33" s="269"/>
      <c r="Y33" s="269"/>
      <c r="Z33" s="269"/>
      <c r="AA33" s="270"/>
      <c r="AB33" s="270"/>
      <c r="AC33" s="270"/>
      <c r="AD33" s="270"/>
      <c r="AE33" s="270"/>
      <c r="AF33" s="270"/>
      <c r="AG33" s="270"/>
      <c r="AH33" s="270"/>
      <c r="AI33" s="270"/>
      <c r="AJ33" s="270"/>
    </row>
    <row r="34" spans="1:53" x14ac:dyDescent="0.2">
      <c r="D34" s="79"/>
    </row>
    <row r="35" spans="1:53" ht="13.5" x14ac:dyDescent="0.2">
      <c r="D35" s="79" t="s">
        <v>157</v>
      </c>
      <c r="H35" s="61" t="s">
        <v>158</v>
      </c>
      <c r="I35" s="261">
        <v>1171</v>
      </c>
      <c r="J35" s="41" t="s">
        <v>166</v>
      </c>
      <c r="L35" s="142" t="s">
        <v>431</v>
      </c>
    </row>
    <row r="36" spans="1:53" x14ac:dyDescent="0.2">
      <c r="D36" s="79"/>
      <c r="H36" s="61"/>
      <c r="I36" s="61"/>
      <c r="J36" s="61"/>
    </row>
    <row r="37" spans="1:53" x14ac:dyDescent="0.2">
      <c r="D37" s="79" t="s">
        <v>181</v>
      </c>
      <c r="H37" s="61" t="s">
        <v>138</v>
      </c>
      <c r="I37" s="262">
        <v>0.02</v>
      </c>
      <c r="J37" s="41" t="s">
        <v>179</v>
      </c>
      <c r="L37" s="142" t="s">
        <v>431</v>
      </c>
    </row>
    <row r="38" spans="1:53" x14ac:dyDescent="0.2">
      <c r="D38" s="79"/>
      <c r="H38" s="61"/>
      <c r="I38" s="87"/>
    </row>
    <row r="39" spans="1:53" x14ac:dyDescent="0.2">
      <c r="D39" t="s">
        <v>178</v>
      </c>
      <c r="H39" s="61" t="s">
        <v>138</v>
      </c>
      <c r="I39" s="262">
        <v>3.7699999999999997E-2</v>
      </c>
      <c r="J39" s="41" t="s">
        <v>180</v>
      </c>
      <c r="L39" s="142" t="s">
        <v>431</v>
      </c>
    </row>
    <row r="41" spans="1:53" x14ac:dyDescent="0.2">
      <c r="C41" s="72">
        <f>C32+1</f>
        <v>7</v>
      </c>
      <c r="D41" s="78" t="s">
        <v>257</v>
      </c>
      <c r="L41" s="131"/>
    </row>
    <row r="42" spans="1:53" x14ac:dyDescent="0.2">
      <c r="D42" s="79" t="s">
        <v>257</v>
      </c>
      <c r="H42" s="61" t="s">
        <v>138</v>
      </c>
      <c r="I42" s="176">
        <v>0.10970000000000001</v>
      </c>
      <c r="J42" s="41" t="s">
        <v>170</v>
      </c>
      <c r="L42" s="142" t="s">
        <v>432</v>
      </c>
    </row>
    <row r="43" spans="1:53" x14ac:dyDescent="0.2">
      <c r="L43" s="95"/>
    </row>
    <row r="44" spans="1:53" x14ac:dyDescent="0.2">
      <c r="A44" s="76">
        <v>3</v>
      </c>
      <c r="B44" s="76" t="s">
        <v>206</v>
      </c>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row>
    <row r="46" spans="1:53" x14ac:dyDescent="0.2">
      <c r="C46" s="73">
        <v>1</v>
      </c>
      <c r="D46" s="78" t="s">
        <v>253</v>
      </c>
      <c r="L46" s="142"/>
    </row>
    <row r="47" spans="1:53" x14ac:dyDescent="0.2">
      <c r="D47" s="79" t="s">
        <v>253</v>
      </c>
      <c r="H47" s="61" t="s">
        <v>207</v>
      </c>
      <c r="I47" s="241">
        <v>5</v>
      </c>
      <c r="J47" s="41" t="s">
        <v>129</v>
      </c>
      <c r="L47" s="143" t="s">
        <v>428</v>
      </c>
    </row>
    <row r="48" spans="1:53" x14ac:dyDescent="0.2">
      <c r="L48" s="142"/>
    </row>
    <row r="49" spans="1:53" x14ac:dyDescent="0.2">
      <c r="C49" s="72">
        <f>1+C46</f>
        <v>2</v>
      </c>
      <c r="D49" s="78" t="s">
        <v>258</v>
      </c>
    </row>
    <row r="50" spans="1:53" x14ac:dyDescent="0.2">
      <c r="D50" s="79" t="str">
        <f>D49</f>
        <v>Parámetro de reposición de equipos terminales</v>
      </c>
      <c r="E50" s="79"/>
      <c r="H50" s="61" t="s">
        <v>138</v>
      </c>
      <c r="I50" s="136">
        <v>2E-3</v>
      </c>
      <c r="J50" s="41" t="s">
        <v>259</v>
      </c>
      <c r="L50" s="78"/>
    </row>
    <row r="51" spans="1:53" x14ac:dyDescent="0.2">
      <c r="D51" s="79"/>
      <c r="E51" s="79"/>
      <c r="H51" s="61"/>
      <c r="I51" s="207"/>
      <c r="J51" s="41"/>
      <c r="L51" s="78"/>
    </row>
    <row r="52" spans="1:53" x14ac:dyDescent="0.2">
      <c r="C52" s="72">
        <v>4</v>
      </c>
      <c r="D52" s="78" t="s">
        <v>436</v>
      </c>
      <c r="H52" s="61" t="s">
        <v>151</v>
      </c>
      <c r="I52" s="263">
        <v>1205</v>
      </c>
      <c r="J52" s="41" t="s">
        <v>492</v>
      </c>
    </row>
    <row r="54" spans="1:53" x14ac:dyDescent="0.2">
      <c r="A54" s="76"/>
      <c r="B54" s="76" t="s">
        <v>149</v>
      </c>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row>
    <row r="60" spans="1:53" ht="117" customHeight="1" x14ac:dyDescent="0.2">
      <c r="R60" s="183"/>
      <c r="S60" s="184"/>
      <c r="T60" s="184"/>
      <c r="U60" s="184"/>
      <c r="V60" s="184"/>
      <c r="W60" s="184"/>
      <c r="X60" s="184"/>
    </row>
    <row r="61" spans="1:53" ht="48.4" customHeight="1" x14ac:dyDescent="0.2">
      <c r="R61" s="183"/>
      <c r="S61" s="184"/>
      <c r="T61" s="184"/>
      <c r="U61" s="184"/>
      <c r="V61" s="184"/>
      <c r="W61" s="184"/>
      <c r="X61" s="184"/>
    </row>
    <row r="62" spans="1:53" x14ac:dyDescent="0.2">
      <c r="R62" s="142"/>
      <c r="S62" s="142"/>
      <c r="T62" s="142"/>
      <c r="U62" s="142"/>
      <c r="V62" s="142"/>
      <c r="W62" s="142"/>
      <c r="X62" s="142"/>
    </row>
    <row r="63" spans="1:53" ht="115.15" customHeight="1" x14ac:dyDescent="0.2">
      <c r="R63" s="183"/>
      <c r="S63" s="184"/>
      <c r="T63" s="184"/>
      <c r="U63" s="184"/>
      <c r="V63" s="184"/>
      <c r="W63" s="184"/>
      <c r="X63" s="184"/>
    </row>
    <row r="73" ht="115.15" customHeight="1" x14ac:dyDescent="0.2"/>
  </sheetData>
  <mergeCells count="7">
    <mergeCell ref="N9:V9"/>
    <mergeCell ref="L13:U13"/>
    <mergeCell ref="L16:U16"/>
    <mergeCell ref="L26:U26"/>
    <mergeCell ref="Q33:Z33"/>
    <mergeCell ref="X9:AC9"/>
    <mergeCell ref="AA33:AJ33"/>
  </mergeCells>
  <pageMargins left="0.7" right="0.7" top="0.75" bottom="0.75" header="0.3" footer="0.3"/>
  <pageSetup orientation="portrait" r:id="rId1"/>
  <ignoredErrors>
    <ignoredError sqref="C54:C92 C31:C45 C13:C20 C47:C48 C24:C27 C21:C22 C28:C30"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BA300"/>
  <sheetViews>
    <sheetView showGridLines="0" zoomScaleNormal="100" workbookViewId="0">
      <selection sqref="A1:XFD1048576"/>
    </sheetView>
  </sheetViews>
  <sheetFormatPr baseColWidth="10" defaultRowHeight="12" outlineLevelRow="1" outlineLevelCol="1" x14ac:dyDescent="0.2"/>
  <cols>
    <col min="1" max="1" width="3.42578125" customWidth="1"/>
    <col min="2" max="4" width="4.7109375" customWidth="1"/>
    <col min="5" max="5" width="80" customWidth="1"/>
    <col min="6" max="6" width="13.28515625" bestFit="1" customWidth="1"/>
    <col min="7" max="7" width="25" customWidth="1"/>
    <col min="8" max="8" width="19.28515625" customWidth="1"/>
    <col min="9" max="9" width="20.28515625" hidden="1" customWidth="1"/>
    <col min="10" max="11" width="14.7109375" customWidth="1"/>
    <col min="12" max="13" width="13.42578125" hidden="1" customWidth="1" outlineLevel="1"/>
    <col min="14" max="14" width="16.28515625" hidden="1" customWidth="1" outlineLevel="1"/>
    <col min="15" max="15" width="11.7109375" hidden="1" customWidth="1" outlineLevel="1"/>
    <col min="16" max="16" width="11.28515625" customWidth="1" collapsed="1"/>
    <col min="17" max="17" width="11.28515625"/>
    <col min="22" max="22" width="12.140625" bestFit="1" customWidth="1"/>
    <col min="23" max="23" width="15" bestFit="1" customWidth="1"/>
    <col min="25" max="25" width="12.140625" bestFit="1" customWidth="1"/>
  </cols>
  <sheetData>
    <row r="1" spans="1:53" s="71" customFormat="1" ht="33.75" customHeight="1" x14ac:dyDescent="0.2">
      <c r="C1" s="71" t="s">
        <v>133</v>
      </c>
    </row>
    <row r="2" spans="1:53" x14ac:dyDescent="0.2">
      <c r="C2" s="164" t="s">
        <v>134</v>
      </c>
      <c r="D2" s="1"/>
      <c r="E2" s="1"/>
      <c r="F2" s="1"/>
      <c r="G2" s="1"/>
      <c r="H2" s="1" t="s">
        <v>135</v>
      </c>
      <c r="I2" s="1">
        <f t="array" ref="I2:O2">TRANSPOSE(Years)</f>
        <v>2021</v>
      </c>
      <c r="J2" s="1">
        <v>2022</v>
      </c>
      <c r="K2" s="1">
        <v>2023</v>
      </c>
      <c r="L2" s="1">
        <v>2024</v>
      </c>
      <c r="M2" s="1">
        <v>0</v>
      </c>
      <c r="N2" s="1">
        <v>0</v>
      </c>
      <c r="O2" s="172" t="e">
        <v>#N/A</v>
      </c>
      <c r="P2" s="1" t="s">
        <v>136</v>
      </c>
      <c r="Q2" s="1"/>
      <c r="R2" s="1" t="s">
        <v>137</v>
      </c>
    </row>
    <row r="3" spans="1:53" x14ac:dyDescent="0.2">
      <c r="A3" s="76">
        <v>1</v>
      </c>
      <c r="B3" s="76" t="s">
        <v>415</v>
      </c>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row>
    <row r="5" spans="1:53" x14ac:dyDescent="0.2">
      <c r="B5" s="76">
        <v>1.1000000000000001</v>
      </c>
      <c r="C5" s="76" t="s">
        <v>426</v>
      </c>
      <c r="D5" s="76"/>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row>
    <row r="6" spans="1:53" x14ac:dyDescent="0.2">
      <c r="L6" s="137"/>
    </row>
    <row r="7" spans="1:53" x14ac:dyDescent="0.2">
      <c r="C7" s="78" t="s">
        <v>143</v>
      </c>
      <c r="D7" s="78"/>
      <c r="W7" s="142"/>
      <c r="X7" s="142"/>
      <c r="Y7" s="142"/>
      <c r="Z7" s="142"/>
      <c r="AA7" s="142"/>
      <c r="AB7" s="142"/>
      <c r="AC7" s="142"/>
    </row>
    <row r="8" spans="1:53" x14ac:dyDescent="0.2">
      <c r="C8" s="79" t="s">
        <v>391</v>
      </c>
      <c r="D8" s="79"/>
      <c r="H8" s="61" t="s">
        <v>144</v>
      </c>
      <c r="I8" s="89"/>
      <c r="J8" s="161">
        <v>1012091</v>
      </c>
      <c r="K8" s="161">
        <v>1072075</v>
      </c>
      <c r="L8" s="89"/>
      <c r="M8" s="89"/>
      <c r="N8" s="89"/>
      <c r="O8" s="89"/>
      <c r="P8" s="41" t="s">
        <v>450</v>
      </c>
      <c r="R8" s="182" t="s">
        <v>266</v>
      </c>
      <c r="W8" s="183"/>
      <c r="X8" s="184"/>
      <c r="Y8" s="184"/>
      <c r="Z8" s="184"/>
      <c r="AA8" s="184"/>
      <c r="AB8" s="184"/>
      <c r="AC8" s="184"/>
    </row>
    <row r="9" spans="1:53" x14ac:dyDescent="0.2">
      <c r="H9" s="61"/>
    </row>
    <row r="10" spans="1:53" x14ac:dyDescent="0.2">
      <c r="C10" s="79" t="s">
        <v>390</v>
      </c>
      <c r="D10" s="79"/>
      <c r="H10" s="61" t="s">
        <v>144</v>
      </c>
      <c r="I10" s="89"/>
      <c r="J10" s="161">
        <v>589139</v>
      </c>
      <c r="K10" s="161">
        <v>568722</v>
      </c>
      <c r="L10" s="89"/>
      <c r="M10" s="89"/>
      <c r="N10" s="89"/>
      <c r="O10" s="89"/>
      <c r="P10" s="41" t="s">
        <v>466</v>
      </c>
      <c r="R10" t="s">
        <v>266</v>
      </c>
      <c r="W10" s="142"/>
      <c r="X10" s="142"/>
      <c r="Y10" s="142"/>
      <c r="Z10" s="142"/>
      <c r="AA10" s="142"/>
      <c r="AB10" s="142"/>
      <c r="AC10" s="142"/>
    </row>
    <row r="11" spans="1:53" x14ac:dyDescent="0.2">
      <c r="C11" s="79"/>
      <c r="D11" s="79"/>
      <c r="H11" s="61"/>
      <c r="W11" s="271"/>
      <c r="X11" s="272"/>
      <c r="Y11" s="272"/>
      <c r="Z11" s="272"/>
      <c r="AA11" s="272"/>
      <c r="AB11" s="272"/>
      <c r="AC11" s="272"/>
    </row>
    <row r="12" spans="1:53" x14ac:dyDescent="0.2">
      <c r="C12" s="78" t="s">
        <v>139</v>
      </c>
      <c r="D12" s="78"/>
      <c r="H12" s="61"/>
    </row>
    <row r="13" spans="1:53" x14ac:dyDescent="0.2">
      <c r="C13" s="79" t="s">
        <v>448</v>
      </c>
      <c r="D13" s="79"/>
      <c r="H13" s="61" t="s">
        <v>145</v>
      </c>
      <c r="I13" s="139" t="str">
        <f t="shared" ref="I13:O13" si="0">IFERROR(I10/I8,"")</f>
        <v/>
      </c>
      <c r="J13" s="139">
        <f t="shared" si="0"/>
        <v>0.58210081899750121</v>
      </c>
      <c r="K13" s="139">
        <f t="shared" si="0"/>
        <v>0.53048713942587977</v>
      </c>
      <c r="L13" s="139" t="str">
        <f t="shared" si="0"/>
        <v/>
      </c>
      <c r="M13" s="139"/>
      <c r="N13" s="139"/>
      <c r="O13" s="139" t="str">
        <f t="shared" si="0"/>
        <v/>
      </c>
      <c r="P13" s="41" t="s">
        <v>467</v>
      </c>
      <c r="R13" t="s">
        <v>266</v>
      </c>
    </row>
    <row r="14" spans="1:53" x14ac:dyDescent="0.2">
      <c r="C14" s="78"/>
      <c r="D14" s="78"/>
    </row>
    <row r="15" spans="1:53" x14ac:dyDescent="0.2">
      <c r="B15" s="76">
        <v>1.2</v>
      </c>
      <c r="C15" s="76" t="s">
        <v>389</v>
      </c>
      <c r="D15" s="76"/>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row>
    <row r="16" spans="1:53" x14ac:dyDescent="0.2">
      <c r="C16" s="78"/>
      <c r="D16" s="78"/>
    </row>
    <row r="17" spans="3:24" x14ac:dyDescent="0.2">
      <c r="C17" s="78" t="s">
        <v>392</v>
      </c>
      <c r="D17" s="78"/>
    </row>
    <row r="18" spans="3:24" x14ac:dyDescent="0.2">
      <c r="C18" s="78"/>
      <c r="D18" s="78"/>
      <c r="O18" s="72"/>
    </row>
    <row r="19" spans="3:24" x14ac:dyDescent="0.2">
      <c r="E19" s="1" t="s">
        <v>140</v>
      </c>
      <c r="F19" s="1" t="s">
        <v>142</v>
      </c>
      <c r="G19" s="1" t="s">
        <v>141</v>
      </c>
      <c r="H19" s="1" t="s">
        <v>135</v>
      </c>
      <c r="I19" s="1">
        <f t="array" ref="I19:O19">TRANSPOSE(Years)</f>
        <v>2021</v>
      </c>
      <c r="J19" s="1">
        <v>2022</v>
      </c>
      <c r="K19" s="1">
        <v>2023</v>
      </c>
      <c r="L19" s="1">
        <v>2024</v>
      </c>
      <c r="M19" s="1">
        <v>0</v>
      </c>
      <c r="N19" s="1">
        <v>0</v>
      </c>
      <c r="O19" s="172" t="e">
        <v>#N/A</v>
      </c>
      <c r="P19" s="1" t="s">
        <v>136</v>
      </c>
      <c r="Q19" s="1"/>
      <c r="R19" s="1" t="s">
        <v>137</v>
      </c>
    </row>
    <row r="20" spans="3:24" x14ac:dyDescent="0.2">
      <c r="I20" s="163">
        <f t="shared" ref="I20:N20" si="1">SUM(I21:I141)</f>
        <v>0</v>
      </c>
      <c r="J20" s="163">
        <f t="shared" si="1"/>
        <v>1.0501999999999996</v>
      </c>
      <c r="K20" s="163">
        <f t="shared" si="1"/>
        <v>1.0501999999999996</v>
      </c>
      <c r="L20" s="163">
        <f t="shared" si="1"/>
        <v>0</v>
      </c>
      <c r="M20" s="81">
        <f t="shared" si="1"/>
        <v>0</v>
      </c>
      <c r="N20" s="81">
        <f t="shared" si="1"/>
        <v>0</v>
      </c>
      <c r="O20" s="81"/>
    </row>
    <row r="21" spans="3:24" x14ac:dyDescent="0.2">
      <c r="C21" s="173" t="str">
        <f>E21&amp;F21</f>
        <v>TV Básico PlusResidencial</v>
      </c>
      <c r="D21" s="73">
        <v>1</v>
      </c>
      <c r="E21" s="77" t="str">
        <f t="array" ref="E21:E133">vector.star.plans.names</f>
        <v>TV Básico Plus</v>
      </c>
      <c r="F21" s="144" t="str">
        <f>IFERROR(VLOOKUP($E21,Base!$B$7:$G$119,2,FALSE),"")</f>
        <v>Residencial</v>
      </c>
      <c r="G21" s="144" t="str">
        <f>IFERROR(VLOOKUP($E21,Base!$B$7:$G$119,3,FALSE),"")</f>
        <v>Solo STAR</v>
      </c>
      <c r="H21" s="61" t="s">
        <v>138</v>
      </c>
      <c r="I21" s="91"/>
      <c r="J21" s="190">
        <f>IFERROR(VLOOKUP($E21,Base!$B$7:$G$119,5,FALSE),"")</f>
        <v>1.2999999999999999E-3</v>
      </c>
      <c r="K21" s="190">
        <f>IFERROR(VLOOKUP($E21,Base!$B$7:$G$119,5,FALSE),"")</f>
        <v>1.2999999999999999E-3</v>
      </c>
      <c r="L21" s="190"/>
      <c r="M21" s="149"/>
      <c r="N21" s="149"/>
      <c r="O21" s="149"/>
      <c r="R21" s="78" t="s">
        <v>449</v>
      </c>
      <c r="W21" s="170"/>
      <c r="X21" s="171"/>
    </row>
    <row r="22" spans="3:24" x14ac:dyDescent="0.2">
      <c r="C22" s="173" t="str">
        <f t="shared" ref="C22:C85" si="2">E22&amp;F22</f>
        <v>TV Básico Plus NegocioNegocio</v>
      </c>
      <c r="D22" s="72">
        <f>1+D21</f>
        <v>2</v>
      </c>
      <c r="E22" s="77" t="str">
        <v>TV Básico Plus Negocio</v>
      </c>
      <c r="F22" s="144" t="str">
        <f>IFERROR(VLOOKUP($E22,Base!$B$7:$G$119,2,FALSE),"")</f>
        <v>Negocio</v>
      </c>
      <c r="G22" s="144" t="str">
        <f>IFERROR(VLOOKUP($E22,Base!$B$7:$G$119,3,FALSE),"")</f>
        <v>Solo STAR</v>
      </c>
      <c r="H22" s="61" t="s">
        <v>138</v>
      </c>
      <c r="I22" s="91"/>
      <c r="J22" s="190">
        <f>IFERROR(VLOOKUP($E22,Base!$B$7:$G$119,5,FALSE),"")</f>
        <v>1E-4</v>
      </c>
      <c r="K22" s="190">
        <f>IFERROR(VLOOKUP($E22,Base!$B$7:$G$119,5,FALSE),"")</f>
        <v>1E-4</v>
      </c>
      <c r="L22" s="190"/>
      <c r="M22" s="149"/>
      <c r="N22" s="149"/>
      <c r="O22" s="149"/>
      <c r="P22" s="141"/>
      <c r="R22" s="78" t="s">
        <v>449</v>
      </c>
      <c r="W22" s="170"/>
      <c r="X22" s="171"/>
    </row>
    <row r="23" spans="3:24" x14ac:dyDescent="0.2">
      <c r="C23" s="173" t="str">
        <f t="shared" si="2"/>
        <v>TV Básico Plus + 100 MegasResidencial</v>
      </c>
      <c r="D23" s="72">
        <f t="shared" ref="D23:D86" si="3">1+D22</f>
        <v>3</v>
      </c>
      <c r="E23" s="77" t="str">
        <v>TV Básico Plus + 100 Megas</v>
      </c>
      <c r="F23" s="144" t="str">
        <f>IFERROR(VLOOKUP($E23,Base!$B$7:$G$119,2,FALSE),"")</f>
        <v>Residencial</v>
      </c>
      <c r="G23" s="144" t="str">
        <f>IFERROR(VLOOKUP($E23,Base!$B$7:$G$119,3,FALSE),"")</f>
        <v>STAR + Internet fijo</v>
      </c>
      <c r="H23" s="61" t="s">
        <v>138</v>
      </c>
      <c r="I23" s="91"/>
      <c r="J23" s="190">
        <f>IFERROR(VLOOKUP($E23,Base!$B$7:$G$119,5,FALSE),"")</f>
        <v>5.0000000000000001E-4</v>
      </c>
      <c r="K23" s="190">
        <f>IFERROR(VLOOKUP($E23,Base!$B$7:$G$119,5,FALSE),"")</f>
        <v>5.0000000000000001E-4</v>
      </c>
      <c r="L23" s="190"/>
      <c r="M23" s="149"/>
      <c r="N23" s="149"/>
      <c r="O23" s="149"/>
      <c r="P23" s="141"/>
      <c r="R23" s="78" t="s">
        <v>449</v>
      </c>
      <c r="W23" s="170"/>
      <c r="X23" s="171"/>
    </row>
    <row r="24" spans="3:24" x14ac:dyDescent="0.2">
      <c r="C24" s="173" t="str">
        <f t="shared" si="2"/>
        <v>TV Básico Plus + 100 Megas SimetricoResidencial</v>
      </c>
      <c r="D24" s="72">
        <f t="shared" si="3"/>
        <v>4</v>
      </c>
      <c r="E24" s="77" t="str">
        <v>TV Básico Plus + 100 Megas Simetrico</v>
      </c>
      <c r="F24" s="144" t="str">
        <f>IFERROR(VLOOKUP($E24,Base!$B$7:$G$119,2,FALSE),"")</f>
        <v>Residencial</v>
      </c>
      <c r="G24" s="144" t="str">
        <f>IFERROR(VLOOKUP($E24,Base!$B$7:$G$119,3,FALSE),"")</f>
        <v>STAR + Internet fijo</v>
      </c>
      <c r="H24" s="61" t="s">
        <v>138</v>
      </c>
      <c r="I24" s="91"/>
      <c r="J24" s="190">
        <f>IFERROR(VLOOKUP($E24,Base!$B$7:$G$119,5,FALSE),"")</f>
        <v>1E-4</v>
      </c>
      <c r="K24" s="190">
        <f>IFERROR(VLOOKUP($E24,Base!$B$7:$G$119,5,FALSE),"")</f>
        <v>1E-4</v>
      </c>
      <c r="L24" s="190"/>
      <c r="M24" s="149"/>
      <c r="N24" s="149"/>
      <c r="O24" s="149"/>
      <c r="P24" s="141"/>
      <c r="R24" s="78" t="s">
        <v>449</v>
      </c>
      <c r="W24" s="170"/>
      <c r="X24" s="171"/>
    </row>
    <row r="25" spans="3:24" x14ac:dyDescent="0.2">
      <c r="C25" s="173" t="str">
        <f t="shared" si="2"/>
        <v>TV Básico Plus + 1000 MegasResidencial</v>
      </c>
      <c r="D25" s="72">
        <f t="shared" si="3"/>
        <v>5</v>
      </c>
      <c r="E25" s="77" t="str">
        <v>TV Básico Plus + 1000 Megas</v>
      </c>
      <c r="F25" s="144" t="str">
        <f>IFERROR(VLOOKUP($E25,Base!$B$7:$G$119,2,FALSE),"")</f>
        <v>Residencial</v>
      </c>
      <c r="G25" s="144" t="str">
        <f>IFERROR(VLOOKUP($E25,Base!$B$7:$G$119,3,FALSE),"")</f>
        <v>STAR + Internet fijo</v>
      </c>
      <c r="H25" s="61" t="s">
        <v>138</v>
      </c>
      <c r="I25" s="91"/>
      <c r="J25" s="190">
        <f>IFERROR(VLOOKUP($E25,Base!$B$7:$G$119,5,FALSE),"")</f>
        <v>1E-4</v>
      </c>
      <c r="K25" s="190">
        <f>IFERROR(VLOOKUP($E25,Base!$B$7:$G$119,5,FALSE),"")</f>
        <v>1E-4</v>
      </c>
      <c r="L25" s="190"/>
      <c r="M25" s="149"/>
      <c r="N25" s="149"/>
      <c r="O25" s="149"/>
      <c r="P25" s="141"/>
      <c r="R25" s="78" t="s">
        <v>449</v>
      </c>
      <c r="W25" s="170"/>
      <c r="X25" s="171"/>
    </row>
    <row r="26" spans="3:24" x14ac:dyDescent="0.2">
      <c r="C26" s="173" t="str">
        <f t="shared" si="2"/>
        <v>TV Básico Plus + 250 MegasResidencial</v>
      </c>
      <c r="D26" s="72">
        <f t="shared" si="3"/>
        <v>6</v>
      </c>
      <c r="E26" s="77" t="str">
        <v>TV Básico Plus + 250 Megas</v>
      </c>
      <c r="F26" s="144" t="str">
        <f>IFERROR(VLOOKUP($E26,Base!$B$7:$G$119,2,FALSE),"")</f>
        <v>Residencial</v>
      </c>
      <c r="G26" s="144" t="str">
        <f>IFERROR(VLOOKUP($E26,Base!$B$7:$G$119,3,FALSE),"")</f>
        <v>STAR + Internet fijo</v>
      </c>
      <c r="H26" s="61" t="s">
        <v>138</v>
      </c>
      <c r="I26" s="91"/>
      <c r="J26" s="190">
        <f>IFERROR(VLOOKUP($E26,Base!$B$7:$G$119,5,FALSE),"")</f>
        <v>4.4999999999999997E-3</v>
      </c>
      <c r="K26" s="190">
        <f>IFERROR(VLOOKUP($E26,Base!$B$7:$G$119,5,FALSE),"")</f>
        <v>4.4999999999999997E-3</v>
      </c>
      <c r="L26" s="190"/>
      <c r="M26" s="149"/>
      <c r="N26" s="149"/>
      <c r="O26" s="149"/>
      <c r="P26" s="141"/>
      <c r="R26" s="78" t="s">
        <v>449</v>
      </c>
      <c r="W26" s="170"/>
      <c r="X26" s="171"/>
    </row>
    <row r="27" spans="3:24" x14ac:dyDescent="0.2">
      <c r="C27" s="173" t="str">
        <f t="shared" si="2"/>
        <v>TV Básico Plus + 250 Megas SimetricoResidencial</v>
      </c>
      <c r="D27" s="72">
        <f t="shared" si="3"/>
        <v>7</v>
      </c>
      <c r="E27" s="77" t="str">
        <v>TV Básico Plus + 250 Megas Simetrico</v>
      </c>
      <c r="F27" s="144" t="str">
        <f>IFERROR(VLOOKUP($E27,Base!$B$7:$G$119,2,FALSE),"")</f>
        <v>Residencial</v>
      </c>
      <c r="G27" s="144" t="str">
        <f>IFERROR(VLOOKUP($E27,Base!$B$7:$G$119,3,FALSE),"")</f>
        <v>STAR + Internet fijo</v>
      </c>
      <c r="H27" s="61" t="s">
        <v>138</v>
      </c>
      <c r="I27" s="91"/>
      <c r="J27" s="190">
        <f>IFERROR(VLOOKUP($E27,Base!$B$7:$G$119,5,FALSE),"")</f>
        <v>0</v>
      </c>
      <c r="K27" s="190">
        <f>IFERROR(VLOOKUP($E27,Base!$B$7:$G$119,5,FALSE),"")</f>
        <v>0</v>
      </c>
      <c r="L27" s="190"/>
      <c r="M27" s="149"/>
      <c r="N27" s="149"/>
      <c r="O27" s="149"/>
      <c r="P27" s="141"/>
      <c r="R27" s="78" t="s">
        <v>449</v>
      </c>
      <c r="W27" s="170"/>
      <c r="X27" s="171"/>
    </row>
    <row r="28" spans="3:24" x14ac:dyDescent="0.2">
      <c r="C28" s="173" t="str">
        <f t="shared" si="2"/>
        <v>TV Básico Plus + 500 MegasResidencial</v>
      </c>
      <c r="D28" s="72">
        <f t="shared" si="3"/>
        <v>8</v>
      </c>
      <c r="E28" s="77" t="str">
        <v>TV Básico Plus + 500 Megas</v>
      </c>
      <c r="F28" s="144" t="str">
        <f>IFERROR(VLOOKUP($E28,Base!$B$7:$G$119,2,FALSE),"")</f>
        <v>Residencial</v>
      </c>
      <c r="G28" s="144" t="str">
        <f>IFERROR(VLOOKUP($E28,Base!$B$7:$G$119,3,FALSE),"")</f>
        <v>STAR + Internet fijo</v>
      </c>
      <c r="H28" s="61" t="s">
        <v>138</v>
      </c>
      <c r="I28" s="91"/>
      <c r="J28" s="190">
        <f>IFERROR(VLOOKUP($E28,Base!$B$7:$G$119,5,FALSE),"")</f>
        <v>3.7000000000000002E-3</v>
      </c>
      <c r="K28" s="190">
        <f>IFERROR(VLOOKUP($E28,Base!$B$7:$G$119,5,FALSE),"")</f>
        <v>3.7000000000000002E-3</v>
      </c>
      <c r="L28" s="190"/>
      <c r="M28" s="149"/>
      <c r="N28" s="149"/>
      <c r="O28" s="149"/>
      <c r="P28" s="141"/>
      <c r="R28" s="78" t="s">
        <v>449</v>
      </c>
      <c r="W28" s="170"/>
      <c r="X28" s="171"/>
    </row>
    <row r="29" spans="3:24" x14ac:dyDescent="0.2">
      <c r="C29" s="173" t="str">
        <f t="shared" si="2"/>
        <v>TV Básico Plus + 500 Megas SimetricoResidencial</v>
      </c>
      <c r="D29" s="72">
        <f t="shared" si="3"/>
        <v>9</v>
      </c>
      <c r="E29" s="77" t="str">
        <v>TV Básico Plus + 500 Megas Simetrico</v>
      </c>
      <c r="F29" s="144" t="str">
        <f>IFERROR(VLOOKUP($E29,Base!$B$7:$G$119,2,FALSE),"")</f>
        <v>Residencial</v>
      </c>
      <c r="G29" s="144" t="str">
        <f>IFERROR(VLOOKUP($E29,Base!$B$7:$G$119,3,FALSE),"")</f>
        <v>STAR + Internet fijo</v>
      </c>
      <c r="H29" s="61" t="s">
        <v>138</v>
      </c>
      <c r="I29" s="91"/>
      <c r="J29" s="190">
        <f>IFERROR(VLOOKUP($E29,Base!$B$7:$G$119,5,FALSE),"")</f>
        <v>0</v>
      </c>
      <c r="K29" s="190">
        <f>IFERROR(VLOOKUP($E29,Base!$B$7:$G$119,5,FALSE),"")</f>
        <v>0</v>
      </c>
      <c r="L29" s="190"/>
      <c r="M29" s="149"/>
      <c r="N29" s="149"/>
      <c r="O29" s="149"/>
      <c r="P29" s="141"/>
      <c r="R29" s="78" t="s">
        <v>449</v>
      </c>
      <c r="W29" s="170"/>
      <c r="X29" s="171"/>
    </row>
    <row r="30" spans="3:24" x14ac:dyDescent="0.2">
      <c r="C30" s="173" t="str">
        <f t="shared" si="2"/>
        <v>TV Básico Plus + 60 MegasResidencial</v>
      </c>
      <c r="D30" s="72">
        <f t="shared" si="3"/>
        <v>10</v>
      </c>
      <c r="E30" s="77" t="str">
        <v>TV Básico Plus + 60 Megas</v>
      </c>
      <c r="F30" s="144" t="str">
        <f>IFERROR(VLOOKUP($E30,Base!$B$7:$G$119,2,FALSE),"")</f>
        <v>Residencial</v>
      </c>
      <c r="G30" s="144" t="str">
        <f>IFERROR(VLOOKUP($E30,Base!$B$7:$G$119,3,FALSE),"")</f>
        <v>STAR + Internet fijo</v>
      </c>
      <c r="H30" s="61" t="s">
        <v>138</v>
      </c>
      <c r="I30" s="91"/>
      <c r="J30" s="190">
        <f>IFERROR(VLOOKUP($E30,Base!$B$7:$G$119,5,FALSE),"")</f>
        <v>1.2800000000000001E-2</v>
      </c>
      <c r="K30" s="190">
        <f>IFERROR(VLOOKUP($E30,Base!$B$7:$G$119,5,FALSE),"")</f>
        <v>1.2800000000000001E-2</v>
      </c>
      <c r="L30" s="190"/>
      <c r="M30" s="149"/>
      <c r="N30" s="149"/>
      <c r="O30" s="149"/>
      <c r="P30" s="141"/>
      <c r="R30" s="78" t="s">
        <v>449</v>
      </c>
      <c r="W30" s="170"/>
      <c r="X30" s="171"/>
    </row>
    <row r="31" spans="3:24" x14ac:dyDescent="0.2">
      <c r="C31" s="173" t="str">
        <f t="shared" si="2"/>
        <v>TV Básico Plus + 60 Megas SimetricoResidencial</v>
      </c>
      <c r="D31" s="72">
        <f t="shared" si="3"/>
        <v>11</v>
      </c>
      <c r="E31" s="77" t="str">
        <v>TV Básico Plus + 60 Megas Simetrico</v>
      </c>
      <c r="F31" s="144" t="str">
        <f>IFERROR(VLOOKUP($E31,Base!$B$7:$G$119,2,FALSE),"")</f>
        <v>Residencial</v>
      </c>
      <c r="G31" s="144" t="str">
        <f>IFERROR(VLOOKUP($E31,Base!$B$7:$G$119,3,FALSE),"")</f>
        <v>STAR + Internet fijo</v>
      </c>
      <c r="H31" s="61" t="s">
        <v>138</v>
      </c>
      <c r="I31" s="91"/>
      <c r="J31" s="190">
        <f>IFERROR(VLOOKUP($E31,Base!$B$7:$G$119,5,FALSE),"")</f>
        <v>0</v>
      </c>
      <c r="K31" s="190">
        <f>IFERROR(VLOOKUP($E31,Base!$B$7:$G$119,5,FALSE),"")</f>
        <v>0</v>
      </c>
      <c r="L31" s="190"/>
      <c r="M31" s="149"/>
      <c r="N31" s="149"/>
      <c r="O31" s="149"/>
      <c r="P31" s="141"/>
      <c r="R31" s="78" t="s">
        <v>449</v>
      </c>
      <c r="W31" s="170"/>
      <c r="X31" s="171"/>
    </row>
    <row r="32" spans="3:24" x14ac:dyDescent="0.2">
      <c r="C32" s="173" t="str">
        <f t="shared" si="2"/>
        <v>TV Básico Plus + HD + Telefonía + 100 MegasResidencial</v>
      </c>
      <c r="D32" s="72">
        <f t="shared" si="3"/>
        <v>12</v>
      </c>
      <c r="E32" s="77" t="str">
        <v>TV Básico Plus + HD + Telefonía + 100 Megas</v>
      </c>
      <c r="F32" s="144" t="str">
        <f>IFERROR(VLOOKUP($E32,Base!$B$7:$G$119,2,FALSE),"")</f>
        <v>Residencial</v>
      </c>
      <c r="G32" s="144" t="str">
        <f>IFERROR(VLOOKUP($E32,Base!$B$7:$G$119,3,FALSE),"")</f>
        <v>STAR + Internet fijo + Telefonía fija</v>
      </c>
      <c r="H32" s="61" t="s">
        <v>138</v>
      </c>
      <c r="I32" s="91"/>
      <c r="J32" s="190">
        <f>IFERROR(VLOOKUP($E32,Base!$B$7:$G$119,5,FALSE),"")</f>
        <v>0</v>
      </c>
      <c r="K32" s="190">
        <f>IFERROR(VLOOKUP($E32,Base!$B$7:$G$119,5,FALSE),"")</f>
        <v>0</v>
      </c>
      <c r="L32" s="190"/>
      <c r="M32" s="149"/>
      <c r="N32" s="149"/>
      <c r="O32" s="149"/>
      <c r="P32" s="141"/>
      <c r="R32" s="78" t="s">
        <v>449</v>
      </c>
      <c r="W32" s="170"/>
      <c r="X32" s="171"/>
    </row>
    <row r="33" spans="3:24" x14ac:dyDescent="0.2">
      <c r="C33" s="173" t="str">
        <f t="shared" si="2"/>
        <v>TV Básico Plus + HD + Telefonía + 100 Megas SimetricoResidencial</v>
      </c>
      <c r="D33" s="72">
        <f t="shared" si="3"/>
        <v>13</v>
      </c>
      <c r="E33" s="77" t="str">
        <v>TV Básico Plus + HD + Telefonía + 100 Megas Simetrico</v>
      </c>
      <c r="F33" s="144" t="str">
        <f>IFERROR(VLOOKUP($E33,Base!$B$7:$G$119,2,FALSE),"")</f>
        <v>Residencial</v>
      </c>
      <c r="G33" s="144" t="str">
        <f>IFERROR(VLOOKUP($E33,Base!$B$7:$G$119,3,FALSE),"")</f>
        <v>STAR + Internet fijo + Telefonía fija</v>
      </c>
      <c r="H33" s="61" t="s">
        <v>138</v>
      </c>
      <c r="I33" s="91"/>
      <c r="J33" s="190">
        <f>IFERROR(VLOOKUP($E33,Base!$B$7:$G$119,5,FALSE),"")</f>
        <v>0</v>
      </c>
      <c r="K33" s="190">
        <f>IFERROR(VLOOKUP($E33,Base!$B$7:$G$119,5,FALSE),"")</f>
        <v>0</v>
      </c>
      <c r="L33" s="190"/>
      <c r="M33" s="149"/>
      <c r="N33" s="149"/>
      <c r="O33" s="149"/>
      <c r="P33" s="141"/>
      <c r="R33" s="78" t="s">
        <v>449</v>
      </c>
      <c r="W33" s="170"/>
      <c r="X33" s="171"/>
    </row>
    <row r="34" spans="3:24" x14ac:dyDescent="0.2">
      <c r="C34" s="173" t="str">
        <f t="shared" si="2"/>
        <v>TV Básico Plus + HD + Telefonía + 1000 MegasResidencial</v>
      </c>
      <c r="D34" s="72">
        <f t="shared" si="3"/>
        <v>14</v>
      </c>
      <c r="E34" s="77" t="str">
        <v>TV Básico Plus + HD + Telefonía + 1000 Megas</v>
      </c>
      <c r="F34" s="144" t="str">
        <f>IFERROR(VLOOKUP($E34,Base!$B$7:$G$119,2,FALSE),"")</f>
        <v>Residencial</v>
      </c>
      <c r="G34" s="144" t="str">
        <f>IFERROR(VLOOKUP($E34,Base!$B$7:$G$119,3,FALSE),"")</f>
        <v>STAR + Internet fijo + Telefonía fija</v>
      </c>
      <c r="H34" s="61" t="s">
        <v>138</v>
      </c>
      <c r="I34" s="91"/>
      <c r="J34" s="190">
        <f>IFERROR(VLOOKUP($E34,Base!$B$7:$G$119,5,FALSE),"")</f>
        <v>0</v>
      </c>
      <c r="K34" s="190">
        <f>IFERROR(VLOOKUP($E34,Base!$B$7:$G$119,5,FALSE),"")</f>
        <v>0</v>
      </c>
      <c r="L34" s="190"/>
      <c r="M34" s="149"/>
      <c r="N34" s="149"/>
      <c r="O34" s="149"/>
      <c r="P34" s="141"/>
      <c r="R34" s="78" t="s">
        <v>449</v>
      </c>
      <c r="W34" s="170"/>
      <c r="X34" s="171"/>
    </row>
    <row r="35" spans="3:24" x14ac:dyDescent="0.2">
      <c r="C35" s="173" t="str">
        <f t="shared" si="2"/>
        <v>TV Básico Plus + HD + Telefonía + 250 MegasResidencial</v>
      </c>
      <c r="D35" s="72">
        <f t="shared" si="3"/>
        <v>15</v>
      </c>
      <c r="E35" s="77" t="str">
        <v>TV Básico Plus + HD + Telefonía + 250 Megas</v>
      </c>
      <c r="F35" s="144" t="str">
        <f>IFERROR(VLOOKUP($E35,Base!$B$7:$G$119,2,FALSE),"")</f>
        <v>Residencial</v>
      </c>
      <c r="G35" s="144" t="str">
        <f>IFERROR(VLOOKUP($E35,Base!$B$7:$G$119,3,FALSE),"")</f>
        <v>STAR + Internet fijo + Telefonía fija</v>
      </c>
      <c r="H35" s="61" t="s">
        <v>138</v>
      </c>
      <c r="I35" s="91"/>
      <c r="J35" s="190">
        <f>IFERROR(VLOOKUP($E35,Base!$B$7:$G$119,5,FALSE),"")</f>
        <v>0</v>
      </c>
      <c r="K35" s="190">
        <f>IFERROR(VLOOKUP($E35,Base!$B$7:$G$119,5,FALSE),"")</f>
        <v>0</v>
      </c>
      <c r="L35" s="190"/>
      <c r="M35" s="149"/>
      <c r="N35" s="149"/>
      <c r="O35" s="149"/>
      <c r="P35" s="141"/>
      <c r="R35" s="78" t="s">
        <v>449</v>
      </c>
      <c r="W35" s="170"/>
      <c r="X35" s="171"/>
    </row>
    <row r="36" spans="3:24" x14ac:dyDescent="0.2">
      <c r="C36" s="173" t="str">
        <f t="shared" si="2"/>
        <v>TV Básico Plus + HD + Telefonía + 250 Megas SimetricoResidencial</v>
      </c>
      <c r="D36" s="72">
        <f t="shared" si="3"/>
        <v>16</v>
      </c>
      <c r="E36" s="77" t="str">
        <v>TV Básico Plus + HD + Telefonía + 250 Megas Simetrico</v>
      </c>
      <c r="F36" s="144" t="str">
        <f>IFERROR(VLOOKUP($E36,Base!$B$7:$G$119,2,FALSE),"")</f>
        <v>Residencial</v>
      </c>
      <c r="G36" s="144" t="str">
        <f>IFERROR(VLOOKUP($E36,Base!$B$7:$G$119,3,FALSE),"")</f>
        <v>STAR + Internet fijo + Telefonía fija</v>
      </c>
      <c r="H36" s="61" t="s">
        <v>138</v>
      </c>
      <c r="I36" s="91"/>
      <c r="J36" s="190">
        <f>IFERROR(VLOOKUP($E36,Base!$B$7:$G$119,5,FALSE),"")</f>
        <v>0</v>
      </c>
      <c r="K36" s="190">
        <f>IFERROR(VLOOKUP($E36,Base!$B$7:$G$119,5,FALSE),"")</f>
        <v>0</v>
      </c>
      <c r="L36" s="190"/>
      <c r="M36" s="149"/>
      <c r="N36" s="149"/>
      <c r="O36" s="149"/>
      <c r="P36" s="141"/>
      <c r="R36" s="78" t="s">
        <v>449</v>
      </c>
      <c r="W36" s="170"/>
      <c r="X36" s="171"/>
    </row>
    <row r="37" spans="3:24" x14ac:dyDescent="0.2">
      <c r="C37" s="173" t="str">
        <f t="shared" si="2"/>
        <v>TV Básico Plus + HD + Telefonía + 500 MegasResidencial</v>
      </c>
      <c r="D37" s="72">
        <f t="shared" si="3"/>
        <v>17</v>
      </c>
      <c r="E37" s="77" t="str">
        <v>TV Básico Plus + HD + Telefonía + 500 Megas</v>
      </c>
      <c r="F37" s="144" t="str">
        <f>IFERROR(VLOOKUP($E37,Base!$B$7:$G$119,2,FALSE),"")</f>
        <v>Residencial</v>
      </c>
      <c r="G37" s="144" t="str">
        <f>IFERROR(VLOOKUP($E37,Base!$B$7:$G$119,3,FALSE),"")</f>
        <v>STAR + Internet fijo + Telefonía fija</v>
      </c>
      <c r="H37" s="61" t="s">
        <v>138</v>
      </c>
      <c r="I37" s="91"/>
      <c r="J37" s="190">
        <f>IFERROR(VLOOKUP($E37,Base!$B$7:$G$119,5,FALSE),"")</f>
        <v>0</v>
      </c>
      <c r="K37" s="190">
        <f>IFERROR(VLOOKUP($E37,Base!$B$7:$G$119,5,FALSE),"")</f>
        <v>0</v>
      </c>
      <c r="L37" s="190"/>
      <c r="M37" s="149"/>
      <c r="N37" s="149"/>
      <c r="O37" s="149"/>
      <c r="P37" s="141"/>
      <c r="R37" s="78" t="s">
        <v>449</v>
      </c>
      <c r="W37" s="170"/>
      <c r="X37" s="171"/>
    </row>
    <row r="38" spans="3:24" x14ac:dyDescent="0.2">
      <c r="C38" s="173" t="str">
        <f t="shared" si="2"/>
        <v>TV Básico Plus + HD + Telefonía + 500 Megas SimetricoResidencial</v>
      </c>
      <c r="D38" s="72">
        <f t="shared" si="3"/>
        <v>18</v>
      </c>
      <c r="E38" s="77" t="str">
        <v>TV Básico Plus + HD + Telefonía + 500 Megas Simetrico</v>
      </c>
      <c r="F38" s="144" t="str">
        <f>IFERROR(VLOOKUP($E38,Base!$B$7:$G$119,2,FALSE),"")</f>
        <v>Residencial</v>
      </c>
      <c r="G38" s="144" t="str">
        <f>IFERROR(VLOOKUP($E38,Base!$B$7:$G$119,3,FALSE),"")</f>
        <v>STAR + Internet fijo + Telefonía fija</v>
      </c>
      <c r="H38" s="61" t="s">
        <v>138</v>
      </c>
      <c r="I38" s="91"/>
      <c r="J38" s="190">
        <f>IFERROR(VLOOKUP($E38,Base!$B$7:$G$119,5,FALSE),"")</f>
        <v>0</v>
      </c>
      <c r="K38" s="190">
        <f>IFERROR(VLOOKUP($E38,Base!$B$7:$G$119,5,FALSE),"")</f>
        <v>0</v>
      </c>
      <c r="L38" s="190"/>
      <c r="M38" s="149"/>
      <c r="N38" s="149"/>
      <c r="O38" s="149"/>
      <c r="P38" s="141"/>
      <c r="R38" s="78" t="s">
        <v>449</v>
      </c>
      <c r="W38" s="170"/>
      <c r="X38" s="171"/>
    </row>
    <row r="39" spans="3:24" x14ac:dyDescent="0.2">
      <c r="C39" s="173" t="str">
        <f t="shared" si="2"/>
        <v>TV Básico Plus + HD + Telefonía + 60 MegasResidencial</v>
      </c>
      <c r="D39" s="72">
        <f t="shared" si="3"/>
        <v>19</v>
      </c>
      <c r="E39" s="77" t="str">
        <v>TV Básico Plus + HD + Telefonía + 60 Megas</v>
      </c>
      <c r="F39" s="144" t="str">
        <f>IFERROR(VLOOKUP($E39,Base!$B$7:$G$119,2,FALSE),"")</f>
        <v>Residencial</v>
      </c>
      <c r="G39" s="144" t="str">
        <f>IFERROR(VLOOKUP($E39,Base!$B$7:$G$119,3,FALSE),"")</f>
        <v>STAR + Internet fijo + Telefonía fija</v>
      </c>
      <c r="H39" s="61" t="s">
        <v>138</v>
      </c>
      <c r="I39" s="91"/>
      <c r="J39" s="190">
        <f>IFERROR(VLOOKUP($E39,Base!$B$7:$G$119,5,FALSE),"")</f>
        <v>0</v>
      </c>
      <c r="K39" s="190">
        <f>IFERROR(VLOOKUP($E39,Base!$B$7:$G$119,5,FALSE),"")</f>
        <v>0</v>
      </c>
      <c r="L39" s="190"/>
      <c r="M39" s="149"/>
      <c r="N39" s="149"/>
      <c r="O39" s="149"/>
      <c r="P39" s="141"/>
      <c r="R39" s="78" t="s">
        <v>449</v>
      </c>
      <c r="W39" s="170"/>
      <c r="X39" s="171"/>
    </row>
    <row r="40" spans="3:24" x14ac:dyDescent="0.2">
      <c r="C40" s="173" t="str">
        <f t="shared" si="2"/>
        <v>TV Básico Plus + HD + Telefonía + 60 Megas SimetricoResidencial</v>
      </c>
      <c r="D40" s="72">
        <f t="shared" si="3"/>
        <v>20</v>
      </c>
      <c r="E40" s="77" t="str">
        <v>TV Básico Plus + HD + Telefonía + 60 Megas Simetrico</v>
      </c>
      <c r="F40" s="144" t="str">
        <f>IFERROR(VLOOKUP($E40,Base!$B$7:$G$119,2,FALSE),"")</f>
        <v>Residencial</v>
      </c>
      <c r="G40" s="144" t="str">
        <f>IFERROR(VLOOKUP($E40,Base!$B$7:$G$119,3,FALSE),"")</f>
        <v>STAR + Internet fijo + Telefonía fija</v>
      </c>
      <c r="H40" s="61" t="s">
        <v>138</v>
      </c>
      <c r="I40" s="91"/>
      <c r="J40" s="190">
        <f>IFERROR(VLOOKUP($E40,Base!$B$7:$G$119,5,FALSE),"")</f>
        <v>0</v>
      </c>
      <c r="K40" s="190">
        <f>IFERROR(VLOOKUP($E40,Base!$B$7:$G$119,5,FALSE),"")</f>
        <v>0</v>
      </c>
      <c r="L40" s="190"/>
      <c r="M40" s="149"/>
      <c r="N40" s="149"/>
      <c r="O40" s="149"/>
      <c r="P40" s="141"/>
      <c r="R40" s="78" t="s">
        <v>449</v>
      </c>
      <c r="W40" s="170"/>
      <c r="X40" s="171"/>
    </row>
    <row r="41" spans="3:24" x14ac:dyDescent="0.2">
      <c r="C41" s="173" t="str">
        <f t="shared" si="2"/>
        <v>TV Básico Plus + HD Negocio + Telefonía Negocio + 100 Megas NegocioNegocio</v>
      </c>
      <c r="D41" s="72">
        <f t="shared" si="3"/>
        <v>21</v>
      </c>
      <c r="E41" s="77" t="str">
        <v>TV Básico Plus + HD Negocio + Telefonía Negocio + 100 Megas Negocio</v>
      </c>
      <c r="F41" s="144" t="str">
        <f>IFERROR(VLOOKUP($E41,Base!$B$7:$G$119,2,FALSE),"")</f>
        <v>Negocio</v>
      </c>
      <c r="G41" s="144" t="str">
        <f>IFERROR(VLOOKUP($E41,Base!$B$7:$G$119,3,FALSE),"")</f>
        <v>STAR + Internet fijo + Telefonía fija</v>
      </c>
      <c r="H41" s="61" t="s">
        <v>138</v>
      </c>
      <c r="I41" s="91"/>
      <c r="J41" s="190">
        <f>IFERROR(VLOOKUP($E41,Base!$B$7:$G$119,5,FALSE),"")</f>
        <v>0</v>
      </c>
      <c r="K41" s="190">
        <f>IFERROR(VLOOKUP($E41,Base!$B$7:$G$119,5,FALSE),"")</f>
        <v>0</v>
      </c>
      <c r="L41" s="190"/>
      <c r="M41" s="149"/>
      <c r="N41" s="149"/>
      <c r="O41" s="149"/>
      <c r="P41" s="141"/>
      <c r="R41" s="78" t="s">
        <v>449</v>
      </c>
      <c r="W41" s="170"/>
      <c r="X41" s="171"/>
    </row>
    <row r="42" spans="3:24" x14ac:dyDescent="0.2">
      <c r="C42" s="173" t="str">
        <f t="shared" si="2"/>
        <v>TV Básico Plus + HD Negocio + Telefonía Negocio + 100 Megas Simetrico NegocioNegocio</v>
      </c>
      <c r="D42" s="72">
        <f t="shared" si="3"/>
        <v>22</v>
      </c>
      <c r="E42" s="77" t="str">
        <v>TV Básico Plus + HD Negocio + Telefonía Negocio + 100 Megas Simetrico Negocio</v>
      </c>
      <c r="F42" s="144" t="str">
        <f>IFERROR(VLOOKUP($E42,Base!$B$7:$G$119,2,FALSE),"")</f>
        <v>Negocio</v>
      </c>
      <c r="G42" s="144" t="str">
        <f>IFERROR(VLOOKUP($E42,Base!$B$7:$G$119,3,FALSE),"")</f>
        <v>STAR + Internet fijo + Telefonía fija</v>
      </c>
      <c r="H42" s="61" t="s">
        <v>138</v>
      </c>
      <c r="I42" s="91"/>
      <c r="J42" s="190">
        <f>IFERROR(VLOOKUP($E42,Base!$B$7:$G$119,5,FALSE),"")</f>
        <v>0</v>
      </c>
      <c r="K42" s="190">
        <f>IFERROR(VLOOKUP($E42,Base!$B$7:$G$119,5,FALSE),"")</f>
        <v>0</v>
      </c>
      <c r="L42" s="190"/>
      <c r="M42" s="149"/>
      <c r="N42" s="149"/>
      <c r="O42" s="149"/>
      <c r="P42" s="141"/>
      <c r="R42" s="78" t="s">
        <v>449</v>
      </c>
      <c r="W42" s="170"/>
      <c r="X42" s="171"/>
    </row>
    <row r="43" spans="3:24" x14ac:dyDescent="0.2">
      <c r="C43" s="173" t="str">
        <f t="shared" si="2"/>
        <v>TV Básico Plus + HD Negocio + Telefonía Negocio + 1000 Megas NegocioNegocio</v>
      </c>
      <c r="D43" s="72">
        <f t="shared" si="3"/>
        <v>23</v>
      </c>
      <c r="E43" s="77" t="str">
        <v>TV Básico Plus + HD Negocio + Telefonía Negocio + 1000 Megas Negocio</v>
      </c>
      <c r="F43" s="144" t="str">
        <f>IFERROR(VLOOKUP($E43,Base!$B$7:$G$119,2,FALSE),"")</f>
        <v>Negocio</v>
      </c>
      <c r="G43" s="144" t="str">
        <f>IFERROR(VLOOKUP($E43,Base!$B$7:$G$119,3,FALSE),"")</f>
        <v>STAR + Internet fijo + Telefonía fija</v>
      </c>
      <c r="H43" s="61" t="s">
        <v>138</v>
      </c>
      <c r="I43" s="91"/>
      <c r="J43" s="190">
        <f>IFERROR(VLOOKUP($E43,Base!$B$7:$G$119,5,FALSE),"")</f>
        <v>0</v>
      </c>
      <c r="K43" s="190">
        <f>IFERROR(VLOOKUP($E43,Base!$B$7:$G$119,5,FALSE),"")</f>
        <v>0</v>
      </c>
      <c r="L43" s="190"/>
      <c r="M43" s="149"/>
      <c r="N43" s="149"/>
      <c r="O43" s="149"/>
      <c r="P43" s="141"/>
      <c r="R43" s="78" t="s">
        <v>449</v>
      </c>
      <c r="W43" s="170"/>
      <c r="X43" s="171"/>
    </row>
    <row r="44" spans="3:24" x14ac:dyDescent="0.2">
      <c r="C44" s="173" t="str">
        <f t="shared" si="2"/>
        <v>TV Básico Plus + HD Negocio + Telefonía Negocio + 250 Megas NegocioNegocio</v>
      </c>
      <c r="D44" s="72">
        <f t="shared" si="3"/>
        <v>24</v>
      </c>
      <c r="E44" s="77" t="str">
        <v>TV Básico Plus + HD Negocio + Telefonía Negocio + 250 Megas Negocio</v>
      </c>
      <c r="F44" s="144" t="str">
        <f>IFERROR(VLOOKUP($E44,Base!$B$7:$G$119,2,FALSE),"")</f>
        <v>Negocio</v>
      </c>
      <c r="G44" s="144" t="str">
        <f>IFERROR(VLOOKUP($E44,Base!$B$7:$G$119,3,FALSE),"")</f>
        <v>STAR + Internet fijo + Telefonía fija</v>
      </c>
      <c r="H44" s="61" t="s">
        <v>138</v>
      </c>
      <c r="I44" s="91"/>
      <c r="J44" s="190">
        <f>IFERROR(VLOOKUP($E44,Base!$B$7:$G$119,5,FALSE),"")</f>
        <v>0</v>
      </c>
      <c r="K44" s="190">
        <f>IFERROR(VLOOKUP($E44,Base!$B$7:$G$119,5,FALSE),"")</f>
        <v>0</v>
      </c>
      <c r="L44" s="190"/>
      <c r="M44" s="149"/>
      <c r="N44" s="149"/>
      <c r="O44" s="149"/>
      <c r="P44" s="141"/>
      <c r="R44" s="78" t="s">
        <v>449</v>
      </c>
      <c r="W44" s="170"/>
      <c r="X44" s="171"/>
    </row>
    <row r="45" spans="3:24" x14ac:dyDescent="0.2">
      <c r="C45" s="173" t="str">
        <f t="shared" si="2"/>
        <v>TV Básico Plus + HD Negocio + Telefonía Negocio + 250 Megas Simetrico NegocioNegocio</v>
      </c>
      <c r="D45" s="72">
        <f t="shared" si="3"/>
        <v>25</v>
      </c>
      <c r="E45" s="77" t="str">
        <v>TV Básico Plus + HD Negocio + Telefonía Negocio + 250 Megas Simetrico Negocio</v>
      </c>
      <c r="F45" s="144" t="str">
        <f>IFERROR(VLOOKUP($E45,Base!$B$7:$G$119,2,FALSE),"")</f>
        <v>Negocio</v>
      </c>
      <c r="G45" s="144" t="str">
        <f>IFERROR(VLOOKUP($E45,Base!$B$7:$G$119,3,FALSE),"")</f>
        <v>STAR + Internet fijo + Telefonía fija</v>
      </c>
      <c r="H45" s="61" t="s">
        <v>138</v>
      </c>
      <c r="I45" s="91"/>
      <c r="J45" s="190">
        <f>IFERROR(VLOOKUP($E45,Base!$B$7:$G$119,5,FALSE),"")</f>
        <v>0</v>
      </c>
      <c r="K45" s="190">
        <f>IFERROR(VLOOKUP($E45,Base!$B$7:$G$119,5,FALSE),"")</f>
        <v>0</v>
      </c>
      <c r="L45" s="190"/>
      <c r="M45" s="149"/>
      <c r="N45" s="149"/>
      <c r="O45" s="149"/>
      <c r="P45" s="141"/>
      <c r="R45" s="78" t="s">
        <v>449</v>
      </c>
      <c r="W45" s="170"/>
      <c r="X45" s="171"/>
    </row>
    <row r="46" spans="3:24" x14ac:dyDescent="0.2">
      <c r="C46" s="173" t="str">
        <f t="shared" si="2"/>
        <v>TV Básico Plus + HD Negocio + Telefonía Negocio + 500 Megas NegocioNegocio</v>
      </c>
      <c r="D46" s="72">
        <f t="shared" si="3"/>
        <v>26</v>
      </c>
      <c r="E46" s="77" t="str">
        <v>TV Básico Plus + HD Negocio + Telefonía Negocio + 500 Megas Negocio</v>
      </c>
      <c r="F46" s="144" t="str">
        <f>IFERROR(VLOOKUP($E46,Base!$B$7:$G$119,2,FALSE),"")</f>
        <v>Negocio</v>
      </c>
      <c r="G46" s="144" t="str">
        <f>IFERROR(VLOOKUP($E46,Base!$B$7:$G$119,3,FALSE),"")</f>
        <v>STAR + Internet fijo + Telefonía fija</v>
      </c>
      <c r="H46" s="61" t="s">
        <v>138</v>
      </c>
      <c r="I46" s="91"/>
      <c r="J46" s="190">
        <f>IFERROR(VLOOKUP($E46,Base!$B$7:$G$119,5,FALSE),"")</f>
        <v>0</v>
      </c>
      <c r="K46" s="190">
        <f>IFERROR(VLOOKUP($E46,Base!$B$7:$G$119,5,FALSE),"")</f>
        <v>0</v>
      </c>
      <c r="L46" s="190"/>
      <c r="M46" s="149"/>
      <c r="N46" s="149"/>
      <c r="O46" s="149"/>
      <c r="P46" s="141"/>
      <c r="R46" s="78" t="s">
        <v>449</v>
      </c>
      <c r="W46" s="170"/>
      <c r="X46" s="171"/>
    </row>
    <row r="47" spans="3:24" x14ac:dyDescent="0.2">
      <c r="C47" s="173" t="str">
        <f t="shared" si="2"/>
        <v>TV Básico Plus + HD Negocio + Telefonía Negocio + 500 Megas Simetrico NegocioNegocio</v>
      </c>
      <c r="D47" s="72">
        <f t="shared" si="3"/>
        <v>27</v>
      </c>
      <c r="E47" s="77" t="str">
        <v>TV Básico Plus + HD Negocio + Telefonía Negocio + 500 Megas Simetrico Negocio</v>
      </c>
      <c r="F47" s="144" t="str">
        <f>IFERROR(VLOOKUP($E47,Base!$B$7:$G$119,2,FALSE),"")</f>
        <v>Negocio</v>
      </c>
      <c r="G47" s="144" t="str">
        <f>IFERROR(VLOOKUP($E47,Base!$B$7:$G$119,3,FALSE),"")</f>
        <v>STAR + Internet fijo + Telefonía fija</v>
      </c>
      <c r="H47" s="61" t="s">
        <v>138</v>
      </c>
      <c r="I47" s="91"/>
      <c r="J47" s="190">
        <f>IFERROR(VLOOKUP($E47,Base!$B$7:$G$119,5,FALSE),"")</f>
        <v>0</v>
      </c>
      <c r="K47" s="190">
        <f>IFERROR(VLOOKUP($E47,Base!$B$7:$G$119,5,FALSE),"")</f>
        <v>0</v>
      </c>
      <c r="L47" s="190"/>
      <c r="M47" s="149"/>
      <c r="N47" s="149"/>
      <c r="O47" s="149"/>
      <c r="P47" s="141"/>
      <c r="R47" s="78" t="s">
        <v>449</v>
      </c>
      <c r="W47" s="170"/>
      <c r="X47" s="171"/>
    </row>
    <row r="48" spans="3:24" x14ac:dyDescent="0.2">
      <c r="C48" s="173" t="str">
        <f t="shared" si="2"/>
        <v>TV Básico Plus + HD Negocio + Telefonía Negocio + 60 Megas NegocioNegocio</v>
      </c>
      <c r="D48" s="72">
        <f t="shared" si="3"/>
        <v>28</v>
      </c>
      <c r="E48" s="77" t="str">
        <v>TV Básico Plus + HD Negocio + Telefonía Negocio + 60 Megas Negocio</v>
      </c>
      <c r="F48" s="144" t="str">
        <f>IFERROR(VLOOKUP($E48,Base!$B$7:$G$119,2,FALSE),"")</f>
        <v>Negocio</v>
      </c>
      <c r="G48" s="144" t="str">
        <f>IFERROR(VLOOKUP($E48,Base!$B$7:$G$119,3,FALSE),"")</f>
        <v>STAR + Internet fijo + Telefonía fija</v>
      </c>
      <c r="H48" s="61" t="s">
        <v>138</v>
      </c>
      <c r="I48" s="91"/>
      <c r="J48" s="190">
        <f>IFERROR(VLOOKUP($E48,Base!$B$7:$G$119,5,FALSE),"")</f>
        <v>0</v>
      </c>
      <c r="K48" s="190">
        <f>IFERROR(VLOOKUP($E48,Base!$B$7:$G$119,5,FALSE),"")</f>
        <v>0</v>
      </c>
      <c r="L48" s="190"/>
      <c r="M48" s="149"/>
      <c r="N48" s="149"/>
      <c r="O48" s="149"/>
      <c r="P48" s="141"/>
      <c r="R48" s="78" t="s">
        <v>449</v>
      </c>
      <c r="W48" s="170"/>
      <c r="X48" s="171"/>
    </row>
    <row r="49" spans="3:24" x14ac:dyDescent="0.2">
      <c r="C49" s="173" t="str">
        <f t="shared" si="2"/>
        <v>TV Básico Plus + HD Negocio + Telefonía Negocio + 60 Megas Simetrico NegocioNegocio</v>
      </c>
      <c r="D49" s="72">
        <f t="shared" si="3"/>
        <v>29</v>
      </c>
      <c r="E49" s="77" t="str">
        <v>TV Básico Plus + HD Negocio + Telefonía Negocio + 60 Megas Simetrico Negocio</v>
      </c>
      <c r="F49" s="144" t="str">
        <f>IFERROR(VLOOKUP($E49,Base!$B$7:$G$119,2,FALSE),"")</f>
        <v>Negocio</v>
      </c>
      <c r="G49" s="144" t="str">
        <f>IFERROR(VLOOKUP($E49,Base!$B$7:$G$119,3,FALSE),"")</f>
        <v>STAR + Internet fijo + Telefonía fija</v>
      </c>
      <c r="H49" s="61" t="s">
        <v>138</v>
      </c>
      <c r="I49" s="91"/>
      <c r="J49" s="190">
        <f>IFERROR(VLOOKUP($E49,Base!$B$7:$G$119,5,FALSE),"")</f>
        <v>0</v>
      </c>
      <c r="K49" s="190">
        <f>IFERROR(VLOOKUP($E49,Base!$B$7:$G$119,5,FALSE),"")</f>
        <v>0</v>
      </c>
      <c r="L49" s="190"/>
      <c r="M49" s="149"/>
      <c r="N49" s="149"/>
      <c r="O49" s="149"/>
      <c r="P49" s="141"/>
      <c r="R49" s="78" t="s">
        <v>449</v>
      </c>
      <c r="W49" s="170"/>
      <c r="X49" s="171"/>
    </row>
    <row r="50" spans="3:24" x14ac:dyDescent="0.2">
      <c r="C50" s="173" t="str">
        <f t="shared" si="2"/>
        <v>TV Básico Plus Negocio + 100 Megas NegocioNegocio</v>
      </c>
      <c r="D50" s="72">
        <f t="shared" si="3"/>
        <v>30</v>
      </c>
      <c r="E50" s="77" t="str">
        <v>TV Básico Plus Negocio + 100 Megas Negocio</v>
      </c>
      <c r="F50" s="144" t="str">
        <f>IFERROR(VLOOKUP($E50,Base!$B$7:$G$119,2,FALSE),"")</f>
        <v>Negocio</v>
      </c>
      <c r="G50" s="144" t="str">
        <f>IFERROR(VLOOKUP($E50,Base!$B$7:$G$119,3,FALSE),"")</f>
        <v>STAR + Internet fijo</v>
      </c>
      <c r="H50" s="61" t="s">
        <v>138</v>
      </c>
      <c r="I50" s="91"/>
      <c r="J50" s="190">
        <f>IFERROR(VLOOKUP($E50,Base!$B$7:$G$119,5,FALSE),"")</f>
        <v>1E-4</v>
      </c>
      <c r="K50" s="190">
        <f>IFERROR(VLOOKUP($E50,Base!$B$7:$G$119,5,FALSE),"")</f>
        <v>1E-4</v>
      </c>
      <c r="L50" s="190"/>
      <c r="M50" s="149"/>
      <c r="N50" s="149"/>
      <c r="O50" s="149"/>
      <c r="P50" s="141"/>
      <c r="R50" s="78" t="s">
        <v>449</v>
      </c>
      <c r="W50" s="170"/>
      <c r="X50" s="171"/>
    </row>
    <row r="51" spans="3:24" x14ac:dyDescent="0.2">
      <c r="C51" s="173" t="str">
        <f t="shared" si="2"/>
        <v>TV Básico Plus Negocio + 100 Megas Simetrico NegocioNegocio</v>
      </c>
      <c r="D51" s="72">
        <f t="shared" si="3"/>
        <v>31</v>
      </c>
      <c r="E51" s="77" t="str">
        <v>TV Básico Plus Negocio + 100 Megas Simetrico Negocio</v>
      </c>
      <c r="F51" s="144" t="str">
        <f>IFERROR(VLOOKUP($E51,Base!$B$7:$G$119,2,FALSE),"")</f>
        <v>Negocio</v>
      </c>
      <c r="G51" s="144" t="str">
        <f>IFERROR(VLOOKUP($E51,Base!$B$7:$G$119,3,FALSE),"")</f>
        <v>STAR + Internet fijo</v>
      </c>
      <c r="H51" s="61" t="s">
        <v>138</v>
      </c>
      <c r="I51" s="91"/>
      <c r="J51" s="190">
        <f>IFERROR(VLOOKUP($E51,Base!$B$7:$G$119,5,FALSE),"")</f>
        <v>0</v>
      </c>
      <c r="K51" s="190">
        <f>IFERROR(VLOOKUP($E51,Base!$B$7:$G$119,5,FALSE),"")</f>
        <v>0</v>
      </c>
      <c r="L51" s="190"/>
      <c r="M51" s="149"/>
      <c r="N51" s="149"/>
      <c r="O51" s="149"/>
      <c r="P51" s="141"/>
      <c r="R51" s="78" t="s">
        <v>449</v>
      </c>
      <c r="W51" s="170"/>
      <c r="X51" s="171"/>
    </row>
    <row r="52" spans="3:24" x14ac:dyDescent="0.2">
      <c r="C52" s="173" t="str">
        <f t="shared" si="2"/>
        <v>TV Básico Plus Negocio + 1000 Megas NegocioNegocio</v>
      </c>
      <c r="D52" s="72">
        <f t="shared" si="3"/>
        <v>32</v>
      </c>
      <c r="E52" s="77" t="str">
        <v>TV Básico Plus Negocio + 1000 Megas Negocio</v>
      </c>
      <c r="F52" s="144" t="str">
        <f>IFERROR(VLOOKUP($E52,Base!$B$7:$G$119,2,FALSE),"")</f>
        <v>Negocio</v>
      </c>
      <c r="G52" s="144" t="str">
        <f>IFERROR(VLOOKUP($E52,Base!$B$7:$G$119,3,FALSE),"")</f>
        <v>STAR + Internet fijo</v>
      </c>
      <c r="H52" s="61" t="s">
        <v>138</v>
      </c>
      <c r="I52" s="91"/>
      <c r="J52" s="190">
        <f>IFERROR(VLOOKUP($E52,Base!$B$7:$G$119,5,FALSE),"")</f>
        <v>1E-4</v>
      </c>
      <c r="K52" s="190">
        <f>IFERROR(VLOOKUP($E52,Base!$B$7:$G$119,5,FALSE),"")</f>
        <v>1E-4</v>
      </c>
      <c r="L52" s="190"/>
      <c r="M52" s="149"/>
      <c r="N52" s="149"/>
      <c r="O52" s="149"/>
      <c r="P52" s="141"/>
      <c r="R52" s="78" t="s">
        <v>449</v>
      </c>
      <c r="W52" s="170"/>
      <c r="X52" s="171"/>
    </row>
    <row r="53" spans="3:24" x14ac:dyDescent="0.2">
      <c r="C53" s="173" t="str">
        <f t="shared" si="2"/>
        <v>TV Básico Plus Negocio + 250 Megas NegocioNegocio</v>
      </c>
      <c r="D53" s="72">
        <f t="shared" si="3"/>
        <v>33</v>
      </c>
      <c r="E53" s="77" t="str">
        <v>TV Básico Plus Negocio + 250 Megas Negocio</v>
      </c>
      <c r="F53" s="144" t="str">
        <f>IFERROR(VLOOKUP($E53,Base!$B$7:$G$119,2,FALSE),"")</f>
        <v>Negocio</v>
      </c>
      <c r="G53" s="144" t="str">
        <f>IFERROR(VLOOKUP($E53,Base!$B$7:$G$119,3,FALSE),"")</f>
        <v>STAR + Internet fijo</v>
      </c>
      <c r="H53" s="61" t="s">
        <v>138</v>
      </c>
      <c r="I53" s="91"/>
      <c r="J53" s="190">
        <f>IFERROR(VLOOKUP($E53,Base!$B$7:$G$119,5,FALSE),"")</f>
        <v>4.0000000000000002E-4</v>
      </c>
      <c r="K53" s="190">
        <f>IFERROR(VLOOKUP($E53,Base!$B$7:$G$119,5,FALSE),"")</f>
        <v>4.0000000000000002E-4</v>
      </c>
      <c r="L53" s="190"/>
      <c r="M53" s="149"/>
      <c r="N53" s="149"/>
      <c r="O53" s="149"/>
      <c r="P53" s="141"/>
      <c r="R53" s="78" t="s">
        <v>449</v>
      </c>
      <c r="W53" s="170"/>
      <c r="X53" s="171"/>
    </row>
    <row r="54" spans="3:24" x14ac:dyDescent="0.2">
      <c r="C54" s="173" t="str">
        <f t="shared" si="2"/>
        <v>TV Básico Plus Negocio + 250 Megas Simetrico NegocioNegocio</v>
      </c>
      <c r="D54" s="72">
        <f t="shared" si="3"/>
        <v>34</v>
      </c>
      <c r="E54" s="77" t="str">
        <v>TV Básico Plus Negocio + 250 Megas Simetrico Negocio</v>
      </c>
      <c r="F54" s="144" t="str">
        <f>IFERROR(VLOOKUP($E54,Base!$B$7:$G$119,2,FALSE),"")</f>
        <v>Negocio</v>
      </c>
      <c r="G54" s="144" t="str">
        <f>IFERROR(VLOOKUP($E54,Base!$B$7:$G$119,3,FALSE),"")</f>
        <v>STAR + Internet fijo</v>
      </c>
      <c r="H54" s="61" t="s">
        <v>138</v>
      </c>
      <c r="I54" s="91"/>
      <c r="J54" s="190">
        <f>IFERROR(VLOOKUP($E54,Base!$B$7:$G$119,5,FALSE),"")</f>
        <v>0</v>
      </c>
      <c r="K54" s="190">
        <f>IFERROR(VLOOKUP($E54,Base!$B$7:$G$119,5,FALSE),"")</f>
        <v>0</v>
      </c>
      <c r="L54" s="190"/>
      <c r="M54" s="149"/>
      <c r="N54" s="149"/>
      <c r="O54" s="149"/>
      <c r="P54" s="141"/>
      <c r="R54" s="78" t="s">
        <v>449</v>
      </c>
      <c r="W54" s="170"/>
      <c r="X54" s="171"/>
    </row>
    <row r="55" spans="3:24" x14ac:dyDescent="0.2">
      <c r="C55" s="173" t="str">
        <f t="shared" si="2"/>
        <v>TV Básico Plus Negocio + 500 Megas NegocioNegocio</v>
      </c>
      <c r="D55" s="72">
        <f t="shared" si="3"/>
        <v>35</v>
      </c>
      <c r="E55" s="77" t="str">
        <v>TV Básico Plus Negocio + 500 Megas Negocio</v>
      </c>
      <c r="F55" s="144" t="str">
        <f>IFERROR(VLOOKUP($E55,Base!$B$7:$G$119,2,FALSE),"")</f>
        <v>Negocio</v>
      </c>
      <c r="G55" s="144" t="str">
        <f>IFERROR(VLOOKUP($E55,Base!$B$7:$G$119,3,FALSE),"")</f>
        <v>STAR + Internet fijo</v>
      </c>
      <c r="H55" s="61" t="s">
        <v>138</v>
      </c>
      <c r="I55" s="91"/>
      <c r="J55" s="190">
        <f>IFERROR(VLOOKUP($E55,Base!$B$7:$G$119,5,FALSE),"")</f>
        <v>1E-4</v>
      </c>
      <c r="K55" s="190">
        <f>IFERROR(VLOOKUP($E55,Base!$B$7:$G$119,5,FALSE),"")</f>
        <v>1E-4</v>
      </c>
      <c r="L55" s="190"/>
      <c r="M55" s="149"/>
      <c r="N55" s="149"/>
      <c r="O55" s="149"/>
      <c r="P55" s="141"/>
      <c r="R55" s="78" t="s">
        <v>449</v>
      </c>
      <c r="W55" s="170"/>
      <c r="X55" s="171"/>
    </row>
    <row r="56" spans="3:24" x14ac:dyDescent="0.2">
      <c r="C56" s="173" t="str">
        <f t="shared" si="2"/>
        <v>TV Básico Plus Negocio + 500 Megas Simetrico NegocioNegocio</v>
      </c>
      <c r="D56" s="72">
        <f t="shared" si="3"/>
        <v>36</v>
      </c>
      <c r="E56" s="77" t="str">
        <v>TV Básico Plus Negocio + 500 Megas Simetrico Negocio</v>
      </c>
      <c r="F56" s="144" t="str">
        <f>IFERROR(VLOOKUP($E56,Base!$B$7:$G$119,2,FALSE),"")</f>
        <v>Negocio</v>
      </c>
      <c r="G56" s="144" t="str">
        <f>IFERROR(VLOOKUP($E56,Base!$B$7:$G$119,3,FALSE),"")</f>
        <v>STAR + Internet fijo</v>
      </c>
      <c r="H56" s="61" t="s">
        <v>138</v>
      </c>
      <c r="I56" s="91"/>
      <c r="J56" s="190">
        <f>IFERROR(VLOOKUP($E56,Base!$B$7:$G$119,5,FALSE),"")</f>
        <v>0</v>
      </c>
      <c r="K56" s="190">
        <f>IFERROR(VLOOKUP($E56,Base!$B$7:$G$119,5,FALSE),"")</f>
        <v>0</v>
      </c>
      <c r="L56" s="190"/>
      <c r="M56" s="149"/>
      <c r="N56" s="149"/>
      <c r="O56" s="149"/>
      <c r="P56" s="141"/>
      <c r="R56" s="78" t="s">
        <v>449</v>
      </c>
      <c r="W56" s="170"/>
      <c r="X56" s="171"/>
    </row>
    <row r="57" spans="3:24" x14ac:dyDescent="0.2">
      <c r="C57" s="173" t="str">
        <f t="shared" si="2"/>
        <v>TV Básico Plus Negocio + 60 Megas NegocioNegocio</v>
      </c>
      <c r="D57" s="72">
        <f t="shared" si="3"/>
        <v>37</v>
      </c>
      <c r="E57" s="77" t="str">
        <v>TV Básico Plus Negocio + 60 Megas Negocio</v>
      </c>
      <c r="F57" s="144" t="str">
        <f>IFERROR(VLOOKUP($E57,Base!$B$7:$G$119,2,FALSE),"")</f>
        <v>Negocio</v>
      </c>
      <c r="G57" s="144" t="str">
        <f>IFERROR(VLOOKUP($E57,Base!$B$7:$G$119,3,FALSE),"")</f>
        <v>STAR + Internet fijo</v>
      </c>
      <c r="H57" s="61" t="s">
        <v>138</v>
      </c>
      <c r="I57" s="91"/>
      <c r="J57" s="190">
        <f>IFERROR(VLOOKUP($E57,Base!$B$7:$G$119,5,FALSE),"")</f>
        <v>6.9999999999999999E-4</v>
      </c>
      <c r="K57" s="190">
        <f>IFERROR(VLOOKUP($E57,Base!$B$7:$G$119,5,FALSE),"")</f>
        <v>6.9999999999999999E-4</v>
      </c>
      <c r="L57" s="190"/>
      <c r="M57" s="149"/>
      <c r="N57" s="149"/>
      <c r="O57" s="149"/>
      <c r="P57" s="141"/>
      <c r="R57" s="78" t="s">
        <v>449</v>
      </c>
      <c r="W57" s="170"/>
      <c r="X57" s="171"/>
    </row>
    <row r="58" spans="3:24" x14ac:dyDescent="0.2">
      <c r="C58" s="173" t="str">
        <f t="shared" si="2"/>
        <v>TV Básico Plus Negocio + 60 Megas Simetrico NegocioNegocio</v>
      </c>
      <c r="D58" s="72">
        <f t="shared" si="3"/>
        <v>38</v>
      </c>
      <c r="E58" s="77" t="str">
        <v>TV Básico Plus Negocio + 60 Megas Simetrico Negocio</v>
      </c>
      <c r="F58" s="144" t="str">
        <f>IFERROR(VLOOKUP($E58,Base!$B$7:$G$119,2,FALSE),"")</f>
        <v>Negocio</v>
      </c>
      <c r="G58" s="144" t="str">
        <f>IFERROR(VLOOKUP($E58,Base!$B$7:$G$119,3,FALSE),"")</f>
        <v>STAR + Internet fijo</v>
      </c>
      <c r="H58" s="61" t="s">
        <v>138</v>
      </c>
      <c r="I58" s="91"/>
      <c r="J58" s="190">
        <f>IFERROR(VLOOKUP($E58,Base!$B$7:$G$119,5,FALSE),"")</f>
        <v>0</v>
      </c>
      <c r="K58" s="190">
        <f>IFERROR(VLOOKUP($E58,Base!$B$7:$G$119,5,FALSE),"")</f>
        <v>0</v>
      </c>
      <c r="L58" s="190"/>
      <c r="M58" s="149"/>
      <c r="N58" s="149"/>
      <c r="O58" s="149"/>
      <c r="R58" s="78" t="s">
        <v>449</v>
      </c>
      <c r="W58" s="170"/>
      <c r="X58" s="171"/>
    </row>
    <row r="59" spans="3:24" x14ac:dyDescent="0.2">
      <c r="C59" s="173" t="str">
        <f t="shared" si="2"/>
        <v>TV Básico Plus Xview+ + Telefonía + 100 MegasResidencial</v>
      </c>
      <c r="D59" s="72">
        <f t="shared" si="3"/>
        <v>39</v>
      </c>
      <c r="E59" s="77" t="str">
        <v>TV Básico Plus Xview+ + Telefonía + 100 Megas</v>
      </c>
      <c r="F59" s="144" t="str">
        <f>IFERROR(VLOOKUP($E59,Base!$B$7:$G$119,2,FALSE),"")</f>
        <v>Residencial</v>
      </c>
      <c r="G59" s="144" t="str">
        <f>IFERROR(VLOOKUP($E59,Base!$B$7:$G$119,3,FALSE),"")</f>
        <v>STAR + Internet fijo + Telefonía fija</v>
      </c>
      <c r="H59" s="61" t="s">
        <v>138</v>
      </c>
      <c r="I59" s="91"/>
      <c r="J59" s="190">
        <f>IFERROR(VLOOKUP($E59,Base!$B$7:$G$119,5,FALSE),"")</f>
        <v>2.1299999999999999E-2</v>
      </c>
      <c r="K59" s="190">
        <f>IFERROR(VLOOKUP($E59,Base!$B$7:$G$119,5,FALSE),"")</f>
        <v>2.1299999999999999E-2</v>
      </c>
      <c r="L59" s="190"/>
      <c r="M59" s="149"/>
      <c r="N59" s="149"/>
      <c r="O59" s="149"/>
      <c r="R59" s="78" t="s">
        <v>449</v>
      </c>
      <c r="W59" s="170"/>
      <c r="X59" s="171"/>
    </row>
    <row r="60" spans="3:24" x14ac:dyDescent="0.2">
      <c r="C60" s="173" t="str">
        <f t="shared" si="2"/>
        <v>TV Básico Plus Xview+ + Telefonía + 100 Megas SimetricoResidencial</v>
      </c>
      <c r="D60" s="72">
        <f t="shared" si="3"/>
        <v>40</v>
      </c>
      <c r="E60" s="77" t="str">
        <v>TV Básico Plus Xview+ + Telefonía + 100 Megas Simetrico</v>
      </c>
      <c r="F60" s="144" t="str">
        <f>IFERROR(VLOOKUP($E60,Base!$B$7:$G$119,2,FALSE),"")</f>
        <v>Residencial</v>
      </c>
      <c r="G60" s="144" t="str">
        <f>IFERROR(VLOOKUP($E60,Base!$B$7:$G$119,3,FALSE),"")</f>
        <v>STAR + Internet fijo + Telefonía fija</v>
      </c>
      <c r="H60" s="61" t="s">
        <v>138</v>
      </c>
      <c r="I60" s="91"/>
      <c r="J60" s="190">
        <f>IFERROR(VLOOKUP($E60,Base!$B$7:$G$119,5,FALSE),"")</f>
        <v>1E-4</v>
      </c>
      <c r="K60" s="190">
        <f>IFERROR(VLOOKUP($E60,Base!$B$7:$G$119,5,FALSE),"")</f>
        <v>1E-4</v>
      </c>
      <c r="L60" s="190"/>
      <c r="M60" s="149"/>
      <c r="N60" s="149"/>
      <c r="O60" s="149"/>
      <c r="R60" s="78" t="s">
        <v>449</v>
      </c>
      <c r="W60" s="170"/>
      <c r="X60" s="171"/>
    </row>
    <row r="61" spans="3:24" x14ac:dyDescent="0.2">
      <c r="C61" s="173" t="str">
        <f t="shared" si="2"/>
        <v>TV Básico Plus Xview+ + Telefonía + 1000 MegasResidencial</v>
      </c>
      <c r="D61" s="72">
        <f t="shared" si="3"/>
        <v>41</v>
      </c>
      <c r="E61" s="77" t="str">
        <v>TV Básico Plus Xview+ + Telefonía + 1000 Megas</v>
      </c>
      <c r="F61" s="144" t="str">
        <f>IFERROR(VLOOKUP($E61,Base!$B$7:$G$119,2,FALSE),"")</f>
        <v>Residencial</v>
      </c>
      <c r="G61" s="144" t="str">
        <f>IFERROR(VLOOKUP($E61,Base!$B$7:$G$119,3,FALSE),"")</f>
        <v>STAR + Internet fijo + Telefonía fija</v>
      </c>
      <c r="H61" s="61" t="s">
        <v>138</v>
      </c>
      <c r="I61" s="91"/>
      <c r="J61" s="190">
        <f>IFERROR(VLOOKUP($E61,Base!$B$7:$G$119,5,FALSE),"")</f>
        <v>9.9000000000000008E-3</v>
      </c>
      <c r="K61" s="190">
        <f>IFERROR(VLOOKUP($E61,Base!$B$7:$G$119,5,FALSE),"")</f>
        <v>9.9000000000000008E-3</v>
      </c>
      <c r="L61" s="190"/>
      <c r="M61" s="149"/>
      <c r="N61" s="149"/>
      <c r="O61" s="149"/>
      <c r="R61" s="78" t="s">
        <v>449</v>
      </c>
      <c r="W61" s="170"/>
      <c r="X61" s="171"/>
    </row>
    <row r="62" spans="3:24" x14ac:dyDescent="0.2">
      <c r="C62" s="173" t="str">
        <f t="shared" si="2"/>
        <v>TV Básico Plus Xview+ + Telefonía + 250 MegasResidencial</v>
      </c>
      <c r="D62" s="72">
        <f t="shared" si="3"/>
        <v>42</v>
      </c>
      <c r="E62" s="77" t="str">
        <v>TV Básico Plus Xview+ + Telefonía + 250 Megas</v>
      </c>
      <c r="F62" s="144" t="str">
        <f>IFERROR(VLOOKUP($E62,Base!$B$7:$G$119,2,FALSE),"")</f>
        <v>Residencial</v>
      </c>
      <c r="G62" s="144" t="str">
        <f>IFERROR(VLOOKUP($E62,Base!$B$7:$G$119,3,FALSE),"")</f>
        <v>STAR + Internet fijo + Telefonía fija</v>
      </c>
      <c r="H62" s="61" t="s">
        <v>138</v>
      </c>
      <c r="I62" s="91"/>
      <c r="J62" s="190">
        <f>IFERROR(VLOOKUP($E62,Base!$B$7:$G$119,5,FALSE),"")</f>
        <v>5.5599999999999997E-2</v>
      </c>
      <c r="K62" s="190">
        <f>IFERROR(VLOOKUP($E62,Base!$B$7:$G$119,5,FALSE),"")</f>
        <v>5.5599999999999997E-2</v>
      </c>
      <c r="L62" s="190"/>
      <c r="M62" s="149"/>
      <c r="N62" s="149"/>
      <c r="O62" s="149"/>
      <c r="R62" s="78" t="s">
        <v>449</v>
      </c>
      <c r="W62" s="170"/>
      <c r="X62" s="171"/>
    </row>
    <row r="63" spans="3:24" x14ac:dyDescent="0.2">
      <c r="C63" s="173" t="str">
        <f t="shared" si="2"/>
        <v>TV Básico Plus Xview+ + Telefonía + 250 Megas SimetricoResidencial</v>
      </c>
      <c r="D63" s="72">
        <f t="shared" si="3"/>
        <v>43</v>
      </c>
      <c r="E63" s="77" t="str">
        <v>TV Básico Plus Xview+ + Telefonía + 250 Megas Simetrico</v>
      </c>
      <c r="F63" s="144" t="str">
        <f>IFERROR(VLOOKUP($E63,Base!$B$7:$G$119,2,FALSE),"")</f>
        <v>Residencial</v>
      </c>
      <c r="G63" s="144" t="str">
        <f>IFERROR(VLOOKUP($E63,Base!$B$7:$G$119,3,FALSE),"")</f>
        <v>STAR + Internet fijo + Telefonía fija</v>
      </c>
      <c r="H63" s="61" t="s">
        <v>138</v>
      </c>
      <c r="I63" s="91"/>
      <c r="J63" s="190">
        <f>IFERROR(VLOOKUP($E63,Base!$B$7:$G$119,5,FALSE),"")</f>
        <v>1E-4</v>
      </c>
      <c r="K63" s="190">
        <f>IFERROR(VLOOKUP($E63,Base!$B$7:$G$119,5,FALSE),"")</f>
        <v>1E-4</v>
      </c>
      <c r="L63" s="190"/>
      <c r="M63" s="149"/>
      <c r="N63" s="149"/>
      <c r="O63" s="149"/>
      <c r="R63" s="78" t="s">
        <v>449</v>
      </c>
      <c r="W63" s="170"/>
      <c r="X63" s="171"/>
    </row>
    <row r="64" spans="3:24" x14ac:dyDescent="0.2">
      <c r="C64" s="173" t="str">
        <f t="shared" si="2"/>
        <v>TV Básico Plus Xview+ + Telefonía + 500 MegasResidencial</v>
      </c>
      <c r="D64" s="72">
        <f t="shared" si="3"/>
        <v>44</v>
      </c>
      <c r="E64" s="77" t="str">
        <v>TV Básico Plus Xview+ + Telefonía + 500 Megas</v>
      </c>
      <c r="F64" s="144" t="str">
        <f>IFERROR(VLOOKUP($E64,Base!$B$7:$G$119,2,FALSE),"")</f>
        <v>Residencial</v>
      </c>
      <c r="G64" s="144" t="str">
        <f>IFERROR(VLOOKUP($E64,Base!$B$7:$G$119,3,FALSE),"")</f>
        <v>STAR + Internet fijo + Telefonía fija</v>
      </c>
      <c r="H64" s="61" t="s">
        <v>138</v>
      </c>
      <c r="I64" s="91"/>
      <c r="J64" s="190">
        <f>IFERROR(VLOOKUP($E64,Base!$B$7:$G$119,5,FALSE),"")</f>
        <v>1.2200000000000001E-2</v>
      </c>
      <c r="K64" s="190">
        <f>IFERROR(VLOOKUP($E64,Base!$B$7:$G$119,5,FALSE),"")</f>
        <v>1.2200000000000001E-2</v>
      </c>
      <c r="L64" s="190"/>
      <c r="M64" s="149"/>
      <c r="N64" s="149"/>
      <c r="O64" s="149"/>
      <c r="R64" s="78" t="s">
        <v>449</v>
      </c>
      <c r="W64" s="170"/>
      <c r="X64" s="171"/>
    </row>
    <row r="65" spans="3:24" x14ac:dyDescent="0.2">
      <c r="C65" s="173" t="str">
        <f t="shared" si="2"/>
        <v>TV Básico Plus Xview+ + Telefonía + 500 Megas SimetricoResidencial</v>
      </c>
      <c r="D65" s="72">
        <f t="shared" si="3"/>
        <v>45</v>
      </c>
      <c r="E65" s="77" t="str">
        <v>TV Básico Plus Xview+ + Telefonía + 500 Megas Simetrico</v>
      </c>
      <c r="F65" s="144" t="str">
        <f>IFERROR(VLOOKUP($E65,Base!$B$7:$G$119,2,FALSE),"")</f>
        <v>Residencial</v>
      </c>
      <c r="G65" s="144" t="str">
        <f>IFERROR(VLOOKUP($E65,Base!$B$7:$G$119,3,FALSE),"")</f>
        <v>STAR + Internet fijo + Telefonía fija</v>
      </c>
      <c r="H65" s="61" t="s">
        <v>138</v>
      </c>
      <c r="I65" s="91"/>
      <c r="J65" s="190">
        <f>IFERROR(VLOOKUP($E65,Base!$B$7:$G$119,5,FALSE),"")</f>
        <v>1E-4</v>
      </c>
      <c r="K65" s="190">
        <f>IFERROR(VLOOKUP($E65,Base!$B$7:$G$119,5,FALSE),"")</f>
        <v>1E-4</v>
      </c>
      <c r="L65" s="190"/>
      <c r="M65" s="149"/>
      <c r="N65" s="149"/>
      <c r="O65" s="149"/>
      <c r="R65" s="78" t="s">
        <v>449</v>
      </c>
      <c r="W65" s="170"/>
      <c r="X65" s="171"/>
    </row>
    <row r="66" spans="3:24" x14ac:dyDescent="0.2">
      <c r="C66" s="173" t="str">
        <f t="shared" si="2"/>
        <v>TV Básico Plus Xview+ + Telefonía + 60 MegasResidencial</v>
      </c>
      <c r="D66" s="72">
        <f t="shared" si="3"/>
        <v>46</v>
      </c>
      <c r="E66" s="77" t="str">
        <v>TV Básico Plus Xview+ + Telefonía + 60 Megas</v>
      </c>
      <c r="F66" s="144" t="str">
        <f>IFERROR(VLOOKUP($E66,Base!$B$7:$G$119,2,FALSE),"")</f>
        <v>Residencial</v>
      </c>
      <c r="G66" s="144" t="str">
        <f>IFERROR(VLOOKUP($E66,Base!$B$7:$G$119,3,FALSE),"")</f>
        <v>STAR + Internet fijo + Telefonía fija</v>
      </c>
      <c r="H66" s="61" t="s">
        <v>138</v>
      </c>
      <c r="I66" s="91"/>
      <c r="J66" s="190">
        <f>IFERROR(VLOOKUP($E66,Base!$B$7:$G$119,5,FALSE),"")</f>
        <v>6.3500000000000001E-2</v>
      </c>
      <c r="K66" s="190">
        <f>IFERROR(VLOOKUP($E66,Base!$B$7:$G$119,5,FALSE),"")</f>
        <v>6.3500000000000001E-2</v>
      </c>
      <c r="L66" s="190"/>
      <c r="M66" s="149"/>
      <c r="N66" s="149"/>
      <c r="O66" s="149"/>
      <c r="R66" s="78" t="s">
        <v>449</v>
      </c>
      <c r="W66" s="170"/>
      <c r="X66" s="171"/>
    </row>
    <row r="67" spans="3:24" x14ac:dyDescent="0.2">
      <c r="C67" s="173" t="str">
        <f t="shared" si="2"/>
        <v>TV Básico Plus Xview+ + Telefonía + 60 Megas SimetricoResidencial</v>
      </c>
      <c r="D67" s="72">
        <f t="shared" si="3"/>
        <v>47</v>
      </c>
      <c r="E67" s="77" t="str">
        <v>TV Básico Plus Xview+ + Telefonía + 60 Megas Simetrico</v>
      </c>
      <c r="F67" s="144" t="str">
        <f>IFERROR(VLOOKUP($E67,Base!$B$7:$G$119,2,FALSE),"")</f>
        <v>Residencial</v>
      </c>
      <c r="G67" s="144" t="str">
        <f>IFERROR(VLOOKUP($E67,Base!$B$7:$G$119,3,FALSE),"")</f>
        <v>STAR + Internet fijo + Telefonía fija</v>
      </c>
      <c r="H67" s="61" t="s">
        <v>138</v>
      </c>
      <c r="I67" s="91"/>
      <c r="J67" s="190">
        <f>IFERROR(VLOOKUP($E67,Base!$B$7:$G$119,5,FALSE),"")</f>
        <v>1E-4</v>
      </c>
      <c r="K67" s="190">
        <f>IFERROR(VLOOKUP($E67,Base!$B$7:$G$119,5,FALSE),"")</f>
        <v>1E-4</v>
      </c>
      <c r="L67" s="190"/>
      <c r="M67" s="149"/>
      <c r="N67" s="149"/>
      <c r="O67" s="149"/>
      <c r="R67" s="78" t="s">
        <v>449</v>
      </c>
      <c r="W67" s="170"/>
      <c r="X67" s="171"/>
    </row>
    <row r="68" spans="3:24" x14ac:dyDescent="0.2">
      <c r="C68" s="173" t="str">
        <f t="shared" si="2"/>
        <v>TV Básico Plus Xview+ Negocio + Telefonía Negocio + 100 Megas NegocioNegocio</v>
      </c>
      <c r="D68" s="72">
        <f t="shared" si="3"/>
        <v>48</v>
      </c>
      <c r="E68" s="77" t="str">
        <v>TV Básico Plus Xview+ Negocio + Telefonía Negocio + 100 Megas Negocio</v>
      </c>
      <c r="F68" s="144" t="str">
        <f>IFERROR(VLOOKUP($E68,Base!$B$7:$G$119,2,FALSE),"")</f>
        <v>Negocio</v>
      </c>
      <c r="G68" s="144" t="str">
        <f>IFERROR(VLOOKUP($E68,Base!$B$7:$G$119,3,FALSE),"")</f>
        <v>STAR + Internet fijo + Telefonía fija</v>
      </c>
      <c r="H68" s="61" t="s">
        <v>138</v>
      </c>
      <c r="I68" s="91"/>
      <c r="J68" s="190">
        <f>IFERROR(VLOOKUP($E68,Base!$B$7:$G$119,5,FALSE),"")</f>
        <v>1.9E-3</v>
      </c>
      <c r="K68" s="190">
        <f>IFERROR(VLOOKUP($E68,Base!$B$7:$G$119,5,FALSE),"")</f>
        <v>1.9E-3</v>
      </c>
      <c r="L68" s="190"/>
      <c r="M68" s="149"/>
      <c r="N68" s="149"/>
      <c r="O68" s="149"/>
      <c r="R68" s="78" t="s">
        <v>449</v>
      </c>
      <c r="W68" s="170"/>
      <c r="X68" s="171"/>
    </row>
    <row r="69" spans="3:24" x14ac:dyDescent="0.2">
      <c r="C69" s="173" t="str">
        <f t="shared" si="2"/>
        <v>TV Básico Plus Xview+ Negocio + Telefonía Negocio + 100 Megas Simetrico NegocioNegocio</v>
      </c>
      <c r="D69" s="72">
        <f t="shared" si="3"/>
        <v>49</v>
      </c>
      <c r="E69" s="77" t="str">
        <v>TV Básico Plus Xview+ Negocio + Telefonía Negocio + 100 Megas Simetrico Negocio</v>
      </c>
      <c r="F69" s="144" t="str">
        <f>IFERROR(VLOOKUP($E69,Base!$B$7:$G$119,2,FALSE),"")</f>
        <v>Negocio</v>
      </c>
      <c r="G69" s="144" t="str">
        <f>IFERROR(VLOOKUP($E69,Base!$B$7:$G$119,3,FALSE),"")</f>
        <v>STAR + Internet fijo + Telefonía fija</v>
      </c>
      <c r="H69" s="61" t="s">
        <v>138</v>
      </c>
      <c r="I69" s="91"/>
      <c r="J69" s="190">
        <f>IFERROR(VLOOKUP($E69,Base!$B$7:$G$119,5,FALSE),"")</f>
        <v>1E-4</v>
      </c>
      <c r="K69" s="190">
        <f>IFERROR(VLOOKUP($E69,Base!$B$7:$G$119,5,FALSE),"")</f>
        <v>1E-4</v>
      </c>
      <c r="L69" s="190"/>
      <c r="M69" s="149"/>
      <c r="N69" s="149"/>
      <c r="O69" s="149"/>
      <c r="R69" s="78" t="s">
        <v>449</v>
      </c>
      <c r="W69" s="170"/>
      <c r="X69" s="171"/>
    </row>
    <row r="70" spans="3:24" x14ac:dyDescent="0.2">
      <c r="C70" s="173" t="str">
        <f t="shared" si="2"/>
        <v>TV Básico Plus Xview+ Negocio + Telefonía Negocio + 1000 Megas NegocioNegocio</v>
      </c>
      <c r="D70" s="72">
        <f t="shared" si="3"/>
        <v>50</v>
      </c>
      <c r="E70" s="77" t="str">
        <v>TV Básico Plus Xview+ Negocio + Telefonía Negocio + 1000 Megas Negocio</v>
      </c>
      <c r="F70" s="144" t="str">
        <f>IFERROR(VLOOKUP($E70,Base!$B$7:$G$119,2,FALSE),"")</f>
        <v>Negocio</v>
      </c>
      <c r="G70" s="144" t="str">
        <f>IFERROR(VLOOKUP($E70,Base!$B$7:$G$119,3,FALSE),"")</f>
        <v>STAR + Internet fijo + Telefonía fija</v>
      </c>
      <c r="H70" s="61" t="s">
        <v>138</v>
      </c>
      <c r="I70" s="91"/>
      <c r="J70" s="190">
        <f>IFERROR(VLOOKUP($E70,Base!$B$7:$G$119,5,FALSE),"")</f>
        <v>1E-4</v>
      </c>
      <c r="K70" s="190">
        <f>IFERROR(VLOOKUP($E70,Base!$B$7:$G$119,5,FALSE),"")</f>
        <v>1E-4</v>
      </c>
      <c r="L70" s="190"/>
      <c r="M70" s="149"/>
      <c r="N70" s="149"/>
      <c r="O70" s="149"/>
      <c r="R70" s="78" t="s">
        <v>449</v>
      </c>
      <c r="W70" s="170"/>
      <c r="X70" s="171"/>
    </row>
    <row r="71" spans="3:24" x14ac:dyDescent="0.2">
      <c r="C71" s="173" t="str">
        <f t="shared" si="2"/>
        <v>TV Básico Plus Xview+ Negocio + Telefonía Negocio + 250 Megas NegocioNegocio</v>
      </c>
      <c r="D71" s="72">
        <f t="shared" si="3"/>
        <v>51</v>
      </c>
      <c r="E71" s="77" t="str">
        <v>TV Básico Plus Xview+ Negocio + Telefonía Negocio + 250 Megas Negocio</v>
      </c>
      <c r="F71" s="144" t="str">
        <f>IFERROR(VLOOKUP($E71,Base!$B$7:$G$119,2,FALSE),"")</f>
        <v>Negocio</v>
      </c>
      <c r="G71" s="144" t="str">
        <f>IFERROR(VLOOKUP($E71,Base!$B$7:$G$119,3,FALSE),"")</f>
        <v>STAR + Internet fijo + Telefonía fija</v>
      </c>
      <c r="H71" s="61" t="s">
        <v>138</v>
      </c>
      <c r="I71" s="91"/>
      <c r="J71" s="190">
        <f>IFERROR(VLOOKUP($E71,Base!$B$7:$G$119,5,FALSE),"")</f>
        <v>2E-3</v>
      </c>
      <c r="K71" s="190">
        <f>IFERROR(VLOOKUP($E71,Base!$B$7:$G$119,5,FALSE),"")</f>
        <v>2E-3</v>
      </c>
      <c r="L71" s="190"/>
      <c r="M71" s="149"/>
      <c r="N71" s="149"/>
      <c r="O71" s="149"/>
      <c r="R71" s="78" t="s">
        <v>449</v>
      </c>
      <c r="W71" s="170"/>
      <c r="X71" s="171"/>
    </row>
    <row r="72" spans="3:24" x14ac:dyDescent="0.2">
      <c r="C72" s="173" t="str">
        <f t="shared" si="2"/>
        <v>TV Básico Plus Xview+ Negocio + Telefonía Negocio + 250 Megas Simetrico NegocioNegocio</v>
      </c>
      <c r="D72" s="72">
        <f t="shared" si="3"/>
        <v>52</v>
      </c>
      <c r="E72" s="77" t="str">
        <v>TV Básico Plus Xview+ Negocio + Telefonía Negocio + 250 Megas Simetrico Negocio</v>
      </c>
      <c r="F72" s="144" t="str">
        <f>IFERROR(VLOOKUP($E72,Base!$B$7:$G$119,2,FALSE),"")</f>
        <v>Negocio</v>
      </c>
      <c r="G72" s="144" t="str">
        <f>IFERROR(VLOOKUP($E72,Base!$B$7:$G$119,3,FALSE),"")</f>
        <v>STAR + Internet fijo + Telefonía fija</v>
      </c>
      <c r="H72" s="61" t="s">
        <v>138</v>
      </c>
      <c r="I72" s="91"/>
      <c r="J72" s="190">
        <f>IFERROR(VLOOKUP($E72,Base!$B$7:$G$119,5,FALSE),"")</f>
        <v>1E-4</v>
      </c>
      <c r="K72" s="190">
        <f>IFERROR(VLOOKUP($E72,Base!$B$7:$G$119,5,FALSE),"")</f>
        <v>1E-4</v>
      </c>
      <c r="L72" s="190"/>
      <c r="M72" s="149"/>
      <c r="N72" s="149"/>
      <c r="O72" s="149"/>
      <c r="R72" s="78" t="s">
        <v>449</v>
      </c>
      <c r="W72" s="170"/>
      <c r="X72" s="171"/>
    </row>
    <row r="73" spans="3:24" x14ac:dyDescent="0.2">
      <c r="C73" s="173" t="str">
        <f t="shared" si="2"/>
        <v>TV Básico Plus Xview+ Negocio + Telefonía Negocio + 500 Megas NegocioNegocio</v>
      </c>
      <c r="D73" s="72">
        <f t="shared" si="3"/>
        <v>53</v>
      </c>
      <c r="E73" s="77" t="str">
        <v>TV Básico Plus Xview+ Negocio + Telefonía Negocio + 500 Megas Negocio</v>
      </c>
      <c r="F73" s="144" t="str">
        <f>IFERROR(VLOOKUP($E73,Base!$B$7:$G$119,2,FALSE),"")</f>
        <v>Negocio</v>
      </c>
      <c r="G73" s="144" t="str">
        <f>IFERROR(VLOOKUP($E73,Base!$B$7:$G$119,3,FALSE),"")</f>
        <v>STAR + Internet fijo + Telefonía fija</v>
      </c>
      <c r="H73" s="61" t="s">
        <v>138</v>
      </c>
      <c r="I73" s="91"/>
      <c r="J73" s="190">
        <f>IFERROR(VLOOKUP($E73,Base!$B$7:$G$119,5,FALSE),"")</f>
        <v>1E-3</v>
      </c>
      <c r="K73" s="190">
        <f>IFERROR(VLOOKUP($E73,Base!$B$7:$G$119,5,FALSE),"")</f>
        <v>1E-3</v>
      </c>
      <c r="L73" s="190"/>
      <c r="M73" s="149"/>
      <c r="N73" s="149"/>
      <c r="O73" s="149"/>
      <c r="R73" s="78" t="s">
        <v>449</v>
      </c>
      <c r="W73" s="170"/>
      <c r="X73" s="171"/>
    </row>
    <row r="74" spans="3:24" x14ac:dyDescent="0.2">
      <c r="C74" s="173" t="str">
        <f t="shared" si="2"/>
        <v>TV Básico Plus Xview+ Negocio + Telefonía Negocio + 500 Megas Simetrico NegocioNegocio</v>
      </c>
      <c r="D74" s="72">
        <f t="shared" si="3"/>
        <v>54</v>
      </c>
      <c r="E74" s="77" t="str">
        <v>TV Básico Plus Xview+ Negocio + Telefonía Negocio + 500 Megas Simetrico Negocio</v>
      </c>
      <c r="F74" s="144" t="str">
        <f>IFERROR(VLOOKUP($E74,Base!$B$7:$G$119,2,FALSE),"")</f>
        <v>Negocio</v>
      </c>
      <c r="G74" s="144" t="str">
        <f>IFERROR(VLOOKUP($E74,Base!$B$7:$G$119,3,FALSE),"")</f>
        <v>STAR + Internet fijo + Telefonía fija</v>
      </c>
      <c r="H74" s="61" t="s">
        <v>138</v>
      </c>
      <c r="I74" s="91"/>
      <c r="J74" s="190">
        <f>IFERROR(VLOOKUP($E74,Base!$B$7:$G$119,5,FALSE),"")</f>
        <v>1E-4</v>
      </c>
      <c r="K74" s="190">
        <f>IFERROR(VLOOKUP($E74,Base!$B$7:$G$119,5,FALSE),"")</f>
        <v>1E-4</v>
      </c>
      <c r="L74" s="190"/>
      <c r="M74" s="149"/>
      <c r="N74" s="149"/>
      <c r="O74" s="149"/>
      <c r="R74" s="78" t="s">
        <v>449</v>
      </c>
      <c r="W74" s="170"/>
      <c r="X74" s="171"/>
    </row>
    <row r="75" spans="3:24" x14ac:dyDescent="0.2">
      <c r="C75" s="173" t="str">
        <f t="shared" si="2"/>
        <v>TV Básico Plus Xview+ Negocio + Telefonía Negocio + 60 Megas NegocioNegocio</v>
      </c>
      <c r="D75" s="72">
        <f t="shared" si="3"/>
        <v>55</v>
      </c>
      <c r="E75" s="77" t="str">
        <v>TV Básico Plus Xview+ Negocio + Telefonía Negocio + 60 Megas Negocio</v>
      </c>
      <c r="F75" s="144" t="str">
        <f>IFERROR(VLOOKUP($E75,Base!$B$7:$G$119,2,FALSE),"")</f>
        <v>Negocio</v>
      </c>
      <c r="G75" s="144" t="str">
        <f>IFERROR(VLOOKUP($E75,Base!$B$7:$G$119,3,FALSE),"")</f>
        <v>STAR + Internet fijo + Telefonía fija</v>
      </c>
      <c r="H75" s="61" t="s">
        <v>138</v>
      </c>
      <c r="I75" s="91"/>
      <c r="J75" s="190">
        <f>IFERROR(VLOOKUP($E75,Base!$B$7:$G$119,5,FALSE),"")</f>
        <v>1.8E-3</v>
      </c>
      <c r="K75" s="190">
        <f>IFERROR(VLOOKUP($E75,Base!$B$7:$G$119,5,FALSE),"")</f>
        <v>1.8E-3</v>
      </c>
      <c r="L75" s="190"/>
      <c r="M75" s="149"/>
      <c r="N75" s="149"/>
      <c r="O75" s="149"/>
      <c r="R75" s="78" t="s">
        <v>449</v>
      </c>
      <c r="W75" s="170"/>
      <c r="X75" s="171"/>
    </row>
    <row r="76" spans="3:24" x14ac:dyDescent="0.2">
      <c r="C76" s="173" t="str">
        <f t="shared" si="2"/>
        <v>TV Básico Plus Xview+ Negocio + Telefonía Negocio + 60 Megas Simetrico NegocioNegocio</v>
      </c>
      <c r="D76" s="72">
        <f t="shared" si="3"/>
        <v>56</v>
      </c>
      <c r="E76" s="77" t="str">
        <v>TV Básico Plus Xview+ Negocio + Telefonía Negocio + 60 Megas Simetrico Negocio</v>
      </c>
      <c r="F76" s="144" t="str">
        <f>IFERROR(VLOOKUP($E76,Base!$B$7:$G$119,2,FALSE),"")</f>
        <v>Negocio</v>
      </c>
      <c r="G76" s="144" t="str">
        <f>IFERROR(VLOOKUP($E76,Base!$B$7:$G$119,3,FALSE),"")</f>
        <v>STAR + Internet fijo + Telefonía fija</v>
      </c>
      <c r="H76" s="61" t="s">
        <v>138</v>
      </c>
      <c r="I76" s="91"/>
      <c r="J76" s="190">
        <f>IFERROR(VLOOKUP($E76,Base!$B$7:$G$119,5,FALSE),"")</f>
        <v>1E-4</v>
      </c>
      <c r="K76" s="190">
        <f>IFERROR(VLOOKUP($E76,Base!$B$7:$G$119,5,FALSE),"")</f>
        <v>1E-4</v>
      </c>
      <c r="L76" s="190"/>
      <c r="M76" s="149"/>
      <c r="N76" s="149"/>
      <c r="O76" s="149"/>
      <c r="R76" s="78" t="s">
        <v>449</v>
      </c>
      <c r="W76" s="170"/>
      <c r="X76" s="171"/>
    </row>
    <row r="77" spans="3:24" x14ac:dyDescent="0.2">
      <c r="C77" s="173" t="str">
        <f t="shared" si="2"/>
        <v>TV ConectaResidencial</v>
      </c>
      <c r="D77" s="72">
        <f t="shared" si="3"/>
        <v>57</v>
      </c>
      <c r="E77" s="77" t="str">
        <v>TV Conecta</v>
      </c>
      <c r="F77" s="144" t="str">
        <f>IFERROR(VLOOKUP($E77,Base!$B$7:$G$119,2,FALSE),"")</f>
        <v>Residencial</v>
      </c>
      <c r="G77" s="144" t="str">
        <f>IFERROR(VLOOKUP($E77,Base!$B$7:$G$119,3,FALSE),"")</f>
        <v>Solo STAR</v>
      </c>
      <c r="H77" s="61" t="s">
        <v>138</v>
      </c>
      <c r="I77" s="91"/>
      <c r="J77" s="190">
        <f>IFERROR(VLOOKUP($E77,Base!$B$7:$G$119,5,FALSE),"")</f>
        <v>1.1999999999999999E-3</v>
      </c>
      <c r="K77" s="190">
        <f>IFERROR(VLOOKUP($E77,Base!$B$7:$G$119,5,FALSE),"")</f>
        <v>1.1999999999999999E-3</v>
      </c>
      <c r="L77" s="190"/>
      <c r="M77" s="149"/>
      <c r="N77" s="149"/>
      <c r="O77" s="149"/>
      <c r="R77" s="78" t="s">
        <v>449</v>
      </c>
      <c r="W77" s="170"/>
      <c r="X77" s="171"/>
    </row>
    <row r="78" spans="3:24" x14ac:dyDescent="0.2">
      <c r="C78" s="173" t="str">
        <f t="shared" si="2"/>
        <v>TV Conecta NegocioNegocio</v>
      </c>
      <c r="D78" s="72">
        <f t="shared" si="3"/>
        <v>58</v>
      </c>
      <c r="E78" s="77" t="str">
        <v>TV Conecta Negocio</v>
      </c>
      <c r="F78" s="144" t="str">
        <f>IFERROR(VLOOKUP($E78,Base!$B$7:$G$119,2,FALSE),"")</f>
        <v>Negocio</v>
      </c>
      <c r="G78" s="144" t="str">
        <f>IFERROR(VLOOKUP($E78,Base!$B$7:$G$119,3,FALSE),"")</f>
        <v>Solo STAR</v>
      </c>
      <c r="H78" s="61" t="s">
        <v>138</v>
      </c>
      <c r="I78" s="91"/>
      <c r="J78" s="190">
        <f>IFERROR(VLOOKUP($E78,Base!$B$7:$G$119,5,FALSE),"")</f>
        <v>1E-4</v>
      </c>
      <c r="K78" s="190">
        <f>IFERROR(VLOOKUP($E78,Base!$B$7:$G$119,5,FALSE),"")</f>
        <v>1E-4</v>
      </c>
      <c r="L78" s="190"/>
      <c r="M78" s="149"/>
      <c r="N78" s="149"/>
      <c r="O78" s="149"/>
      <c r="R78" s="78" t="s">
        <v>449</v>
      </c>
      <c r="W78" s="170"/>
      <c r="X78" s="171"/>
    </row>
    <row r="79" spans="3:24" x14ac:dyDescent="0.2">
      <c r="C79" s="173" t="str">
        <f t="shared" si="2"/>
        <v>TV Conecta + 100 MegasResidencial</v>
      </c>
      <c r="D79" s="72">
        <f t="shared" si="3"/>
        <v>59</v>
      </c>
      <c r="E79" s="77" t="str">
        <v>TV Conecta + 100 Megas</v>
      </c>
      <c r="F79" s="144" t="str">
        <f>IFERROR(VLOOKUP($E79,Base!$B$7:$G$119,2,FALSE),"")</f>
        <v>Residencial</v>
      </c>
      <c r="G79" s="144" t="str">
        <f>IFERROR(VLOOKUP($E79,Base!$B$7:$G$119,3,FALSE),"")</f>
        <v>STAR + Internet fijo</v>
      </c>
      <c r="H79" s="61" t="s">
        <v>138</v>
      </c>
      <c r="I79" s="91"/>
      <c r="J79" s="190">
        <f>IFERROR(VLOOKUP($E79,Base!$B$7:$G$119,5,FALSE),"")</f>
        <v>5.0000000000000001E-4</v>
      </c>
      <c r="K79" s="190">
        <f>IFERROR(VLOOKUP($E79,Base!$B$7:$G$119,5,FALSE),"")</f>
        <v>5.0000000000000001E-4</v>
      </c>
      <c r="L79" s="190"/>
      <c r="M79" s="149"/>
      <c r="N79" s="149"/>
      <c r="O79" s="149"/>
      <c r="R79" s="78" t="s">
        <v>449</v>
      </c>
      <c r="W79" s="170"/>
      <c r="X79" s="171"/>
    </row>
    <row r="80" spans="3:24" x14ac:dyDescent="0.2">
      <c r="C80" s="173" t="str">
        <f t="shared" si="2"/>
        <v>TV Conecta + 100 Megas SimetricoResidencial</v>
      </c>
      <c r="D80" s="72">
        <f t="shared" si="3"/>
        <v>60</v>
      </c>
      <c r="E80" s="77" t="str">
        <v>TV Conecta + 100 Megas Simetrico</v>
      </c>
      <c r="F80" s="144" t="str">
        <f>IFERROR(VLOOKUP($E80,Base!$B$7:$G$119,2,FALSE),"")</f>
        <v>Residencial</v>
      </c>
      <c r="G80" s="144" t="str">
        <f>IFERROR(VLOOKUP($E80,Base!$B$7:$G$119,3,FALSE),"")</f>
        <v>STAR + Internet fijo</v>
      </c>
      <c r="H80" s="61" t="s">
        <v>138</v>
      </c>
      <c r="I80" s="91"/>
      <c r="J80" s="190">
        <f>IFERROR(VLOOKUP($E80,Base!$B$7:$G$119,5,FALSE),"")</f>
        <v>0</v>
      </c>
      <c r="K80" s="190">
        <f>IFERROR(VLOOKUP($E80,Base!$B$7:$G$119,5,FALSE),"")</f>
        <v>0</v>
      </c>
      <c r="L80" s="190"/>
      <c r="M80" s="149"/>
      <c r="N80" s="149"/>
      <c r="O80" s="149"/>
      <c r="R80" s="78" t="s">
        <v>449</v>
      </c>
      <c r="W80" s="170"/>
      <c r="X80" s="171"/>
    </row>
    <row r="81" spans="3:24" x14ac:dyDescent="0.2">
      <c r="C81" s="173" t="str">
        <f t="shared" si="2"/>
        <v>TV Conecta + 1000 MegasResidencial</v>
      </c>
      <c r="D81" s="72">
        <f t="shared" si="3"/>
        <v>61</v>
      </c>
      <c r="E81" s="77" t="str">
        <v>TV Conecta + 1000 Megas</v>
      </c>
      <c r="F81" s="144" t="str">
        <f>IFERROR(VLOOKUP($E81,Base!$B$7:$G$119,2,FALSE),"")</f>
        <v>Residencial</v>
      </c>
      <c r="G81" s="144" t="str">
        <f>IFERROR(VLOOKUP($E81,Base!$B$7:$G$119,3,FALSE),"")</f>
        <v>STAR + Internet fijo</v>
      </c>
      <c r="H81" s="61" t="s">
        <v>138</v>
      </c>
      <c r="I81" s="91"/>
      <c r="J81" s="190">
        <f>IFERROR(VLOOKUP($E81,Base!$B$7:$G$119,5,FALSE),"")</f>
        <v>0</v>
      </c>
      <c r="K81" s="190">
        <f>IFERROR(VLOOKUP($E81,Base!$B$7:$G$119,5,FALSE),"")</f>
        <v>0</v>
      </c>
      <c r="L81" s="190"/>
      <c r="M81" s="149"/>
      <c r="N81" s="149"/>
      <c r="O81" s="149"/>
      <c r="R81" s="78" t="s">
        <v>449</v>
      </c>
      <c r="W81" s="170"/>
      <c r="X81" s="171"/>
    </row>
    <row r="82" spans="3:24" x14ac:dyDescent="0.2">
      <c r="C82" s="173" t="str">
        <f t="shared" si="2"/>
        <v>TV Conecta + 250 MegasResidencial</v>
      </c>
      <c r="D82" s="72">
        <f t="shared" si="3"/>
        <v>62</v>
      </c>
      <c r="E82" s="77" t="str">
        <v>TV Conecta + 250 Megas</v>
      </c>
      <c r="F82" s="144" t="str">
        <f>IFERROR(VLOOKUP($E82,Base!$B$7:$G$119,2,FALSE),"")</f>
        <v>Residencial</v>
      </c>
      <c r="G82" s="144" t="str">
        <f>IFERROR(VLOOKUP($E82,Base!$B$7:$G$119,3,FALSE),"")</f>
        <v>STAR + Internet fijo</v>
      </c>
      <c r="H82" s="61" t="s">
        <v>138</v>
      </c>
      <c r="I82" s="91"/>
      <c r="J82" s="190">
        <f>IFERROR(VLOOKUP($E82,Base!$B$7:$G$119,5,FALSE),"")</f>
        <v>1.35E-2</v>
      </c>
      <c r="K82" s="190">
        <f>IFERROR(VLOOKUP($E82,Base!$B$7:$G$119,5,FALSE),"")</f>
        <v>1.35E-2</v>
      </c>
      <c r="L82" s="190"/>
      <c r="M82" s="149"/>
      <c r="N82" s="149"/>
      <c r="O82" s="149"/>
      <c r="R82" s="78" t="s">
        <v>449</v>
      </c>
      <c r="W82" s="170"/>
      <c r="X82" s="171"/>
    </row>
    <row r="83" spans="3:24" x14ac:dyDescent="0.2">
      <c r="C83" s="173" t="str">
        <f t="shared" si="2"/>
        <v>TV Conecta + 250 Megas SimetricoResidencial</v>
      </c>
      <c r="D83" s="72">
        <f t="shared" si="3"/>
        <v>63</v>
      </c>
      <c r="E83" s="77" t="str">
        <v>TV Conecta + 250 Megas Simetrico</v>
      </c>
      <c r="F83" s="144" t="str">
        <f>IFERROR(VLOOKUP($E83,Base!$B$7:$G$119,2,FALSE),"")</f>
        <v>Residencial</v>
      </c>
      <c r="G83" s="144" t="str">
        <f>IFERROR(VLOOKUP($E83,Base!$B$7:$G$119,3,FALSE),"")</f>
        <v>STAR + Internet fijo</v>
      </c>
      <c r="H83" s="61" t="s">
        <v>138</v>
      </c>
      <c r="I83" s="91"/>
      <c r="J83" s="190">
        <f>IFERROR(VLOOKUP($E83,Base!$B$7:$G$119,5,FALSE),"")</f>
        <v>0</v>
      </c>
      <c r="K83" s="190">
        <f>IFERROR(VLOOKUP($E83,Base!$B$7:$G$119,5,FALSE),"")</f>
        <v>0</v>
      </c>
      <c r="L83" s="190"/>
      <c r="M83" s="149"/>
      <c r="N83" s="149"/>
      <c r="O83" s="149"/>
      <c r="R83" s="78" t="s">
        <v>449</v>
      </c>
      <c r="W83" s="170"/>
      <c r="X83" s="171"/>
    </row>
    <row r="84" spans="3:24" x14ac:dyDescent="0.2">
      <c r="C84" s="173" t="str">
        <f t="shared" si="2"/>
        <v>TV Conecta + 500 MegasResidencial</v>
      </c>
      <c r="D84" s="72">
        <f t="shared" si="3"/>
        <v>64</v>
      </c>
      <c r="E84" s="77" t="str">
        <v>TV Conecta + 500 Megas</v>
      </c>
      <c r="F84" s="144" t="str">
        <f>IFERROR(VLOOKUP($E84,Base!$B$7:$G$119,2,FALSE),"")</f>
        <v>Residencial</v>
      </c>
      <c r="G84" s="144" t="str">
        <f>IFERROR(VLOOKUP($E84,Base!$B$7:$G$119,3,FALSE),"")</f>
        <v>STAR + Internet fijo</v>
      </c>
      <c r="H84" s="61" t="s">
        <v>138</v>
      </c>
      <c r="I84" s="91"/>
      <c r="J84" s="190">
        <f>IFERROR(VLOOKUP($E84,Base!$B$7:$G$119,5,FALSE),"")</f>
        <v>2.0000000000000001E-4</v>
      </c>
      <c r="K84" s="190">
        <f>IFERROR(VLOOKUP($E84,Base!$B$7:$G$119,5,FALSE),"")</f>
        <v>2.0000000000000001E-4</v>
      </c>
      <c r="L84" s="190"/>
      <c r="M84" s="149"/>
      <c r="N84" s="149"/>
      <c r="O84" s="149"/>
      <c r="R84" s="78" t="s">
        <v>449</v>
      </c>
      <c r="W84" s="170"/>
      <c r="X84" s="171"/>
    </row>
    <row r="85" spans="3:24" x14ac:dyDescent="0.2">
      <c r="C85" s="173" t="str">
        <f t="shared" si="2"/>
        <v>TV Conecta + 500 Megas SimetricoResidencial</v>
      </c>
      <c r="D85" s="72">
        <f t="shared" si="3"/>
        <v>65</v>
      </c>
      <c r="E85" s="77" t="str">
        <v>TV Conecta + 500 Megas Simetrico</v>
      </c>
      <c r="F85" s="144" t="str">
        <f>IFERROR(VLOOKUP($E85,Base!$B$7:$G$119,2,FALSE),"")</f>
        <v>Residencial</v>
      </c>
      <c r="G85" s="144" t="str">
        <f>IFERROR(VLOOKUP($E85,Base!$B$7:$G$119,3,FALSE),"")</f>
        <v>STAR + Internet fijo</v>
      </c>
      <c r="H85" s="61" t="s">
        <v>138</v>
      </c>
      <c r="I85" s="91"/>
      <c r="J85" s="190">
        <f>IFERROR(VLOOKUP($E85,Base!$B$7:$G$119,5,FALSE),"")</f>
        <v>0</v>
      </c>
      <c r="K85" s="190">
        <f>IFERROR(VLOOKUP($E85,Base!$B$7:$G$119,5,FALSE),"")</f>
        <v>0</v>
      </c>
      <c r="L85" s="190"/>
      <c r="M85" s="149"/>
      <c r="N85" s="149"/>
      <c r="O85" s="149"/>
      <c r="R85" s="78" t="s">
        <v>449</v>
      </c>
      <c r="W85" s="170"/>
      <c r="X85" s="171"/>
    </row>
    <row r="86" spans="3:24" x14ac:dyDescent="0.2">
      <c r="C86" s="173" t="str">
        <f t="shared" ref="C86:C133" si="4">E86&amp;F86</f>
        <v>TV Conecta + 60 MegasResidencial</v>
      </c>
      <c r="D86" s="72">
        <f t="shared" si="3"/>
        <v>66</v>
      </c>
      <c r="E86" s="77" t="str">
        <v>TV Conecta + 60 Megas</v>
      </c>
      <c r="F86" s="144" t="str">
        <f>IFERROR(VLOOKUP($E86,Base!$B$7:$G$119,2,FALSE),"")</f>
        <v>Residencial</v>
      </c>
      <c r="G86" s="144" t="str">
        <f>IFERROR(VLOOKUP($E86,Base!$B$7:$G$119,3,FALSE),"")</f>
        <v>STAR + Internet fijo</v>
      </c>
      <c r="H86" s="61" t="s">
        <v>138</v>
      </c>
      <c r="I86" s="91"/>
      <c r="J86" s="190">
        <f>IFERROR(VLOOKUP($E86,Base!$B$7:$G$119,5,FALSE),"")</f>
        <v>1.5100000000000001E-2</v>
      </c>
      <c r="K86" s="190">
        <f>IFERROR(VLOOKUP($E86,Base!$B$7:$G$119,5,FALSE),"")</f>
        <v>1.5100000000000001E-2</v>
      </c>
      <c r="L86" s="190"/>
      <c r="M86" s="149"/>
      <c r="N86" s="149"/>
      <c r="O86" s="149"/>
      <c r="R86" s="78" t="s">
        <v>449</v>
      </c>
      <c r="W86" s="170"/>
      <c r="X86" s="171"/>
    </row>
    <row r="87" spans="3:24" x14ac:dyDescent="0.2">
      <c r="C87" s="173" t="str">
        <f t="shared" si="4"/>
        <v>TV Conecta + 60 Megas SimetricoResidencial</v>
      </c>
      <c r="D87" s="72">
        <f t="shared" ref="D87:D92" si="5">1+D86</f>
        <v>67</v>
      </c>
      <c r="E87" s="77" t="str">
        <v>TV Conecta + 60 Megas Simetrico</v>
      </c>
      <c r="F87" s="144" t="str">
        <f>IFERROR(VLOOKUP($E87,Base!$B$7:$G$119,2,FALSE),"")</f>
        <v>Residencial</v>
      </c>
      <c r="G87" s="144" t="str">
        <f>IFERROR(VLOOKUP($E87,Base!$B$7:$G$119,3,FALSE),"")</f>
        <v>STAR + Internet fijo</v>
      </c>
      <c r="H87" s="61" t="s">
        <v>138</v>
      </c>
      <c r="I87" s="91"/>
      <c r="J87" s="190">
        <f>IFERROR(VLOOKUP($E87,Base!$B$7:$G$119,5,FALSE),"")</f>
        <v>1E-4</v>
      </c>
      <c r="K87" s="190">
        <f>IFERROR(VLOOKUP($E87,Base!$B$7:$G$119,5,FALSE),"")</f>
        <v>1E-4</v>
      </c>
      <c r="L87" s="190"/>
      <c r="M87" s="149"/>
      <c r="N87" s="149"/>
      <c r="O87" s="149"/>
      <c r="R87" s="78" t="s">
        <v>449</v>
      </c>
      <c r="W87" s="170"/>
      <c r="X87" s="171"/>
    </row>
    <row r="88" spans="3:24" x14ac:dyDescent="0.2">
      <c r="C88" s="173" t="str">
        <f t="shared" si="4"/>
        <v>TV Conecta + HD + Telefonía + 100 MegasResidencial</v>
      </c>
      <c r="D88" s="72">
        <f t="shared" si="5"/>
        <v>68</v>
      </c>
      <c r="E88" s="77" t="str">
        <v>TV Conecta + HD + Telefonía + 100 Megas</v>
      </c>
      <c r="F88" s="144" t="str">
        <f>IFERROR(VLOOKUP($E88,Base!$B$7:$G$119,2,FALSE),"")</f>
        <v>Residencial</v>
      </c>
      <c r="G88" s="144" t="str">
        <f>IFERROR(VLOOKUP($E88,Base!$B$7:$G$119,3,FALSE),"")</f>
        <v>STAR + Internet fijo + Telefonía fija</v>
      </c>
      <c r="H88" s="61" t="s">
        <v>138</v>
      </c>
      <c r="I88" s="91"/>
      <c r="J88" s="190">
        <f>IFERROR(VLOOKUP($E88,Base!$B$7:$G$119,5,FALSE),"")</f>
        <v>0</v>
      </c>
      <c r="K88" s="190">
        <f>IFERROR(VLOOKUP($E88,Base!$B$7:$G$119,5,FALSE),"")</f>
        <v>0</v>
      </c>
      <c r="L88" s="190"/>
      <c r="M88" s="149"/>
      <c r="N88" s="149"/>
      <c r="O88" s="149"/>
      <c r="R88" s="78" t="s">
        <v>449</v>
      </c>
      <c r="W88" s="170"/>
      <c r="X88" s="171"/>
    </row>
    <row r="89" spans="3:24" x14ac:dyDescent="0.2">
      <c r="C89" s="173" t="str">
        <f t="shared" si="4"/>
        <v>TV Conecta + HD + Telefonía + 100 Megas SimetricoResidencial</v>
      </c>
      <c r="D89" s="72">
        <f t="shared" si="5"/>
        <v>69</v>
      </c>
      <c r="E89" s="77" t="str">
        <v>TV Conecta + HD + Telefonía + 100 Megas Simetrico</v>
      </c>
      <c r="F89" s="144" t="str">
        <f>IFERROR(VLOOKUP($E89,Base!$B$7:$G$119,2,FALSE),"")</f>
        <v>Residencial</v>
      </c>
      <c r="G89" s="144" t="str">
        <f>IFERROR(VLOOKUP($E89,Base!$B$7:$G$119,3,FALSE),"")</f>
        <v>STAR + Internet fijo + Telefonía fija</v>
      </c>
      <c r="H89" s="61" t="s">
        <v>138</v>
      </c>
      <c r="I89" s="91"/>
      <c r="J89" s="190">
        <f>IFERROR(VLOOKUP($E89,Base!$B$7:$G$119,5,FALSE),"")</f>
        <v>0</v>
      </c>
      <c r="K89" s="190">
        <f>IFERROR(VLOOKUP($E89,Base!$B$7:$G$119,5,FALSE),"")</f>
        <v>0</v>
      </c>
      <c r="L89" s="190"/>
      <c r="M89" s="149"/>
      <c r="N89" s="149"/>
      <c r="O89" s="149"/>
      <c r="R89" s="78" t="s">
        <v>449</v>
      </c>
      <c r="W89" s="170"/>
      <c r="X89" s="171"/>
    </row>
    <row r="90" spans="3:24" x14ac:dyDescent="0.2">
      <c r="C90" s="173" t="str">
        <f t="shared" si="4"/>
        <v>TV Conecta + HD + Telefonía + 1000 MegasResidencial</v>
      </c>
      <c r="D90" s="72">
        <f t="shared" si="5"/>
        <v>70</v>
      </c>
      <c r="E90" s="77" t="str">
        <v>TV Conecta + HD + Telefonía + 1000 Megas</v>
      </c>
      <c r="F90" s="144" t="str">
        <f>IFERROR(VLOOKUP($E90,Base!$B$7:$G$119,2,FALSE),"")</f>
        <v>Residencial</v>
      </c>
      <c r="G90" s="144" t="str">
        <f>IFERROR(VLOOKUP($E90,Base!$B$7:$G$119,3,FALSE),"")</f>
        <v>STAR + Internet fijo + Telefonía fija</v>
      </c>
      <c r="H90" s="61" t="s">
        <v>138</v>
      </c>
      <c r="I90" s="91"/>
      <c r="J90" s="190">
        <f>IFERROR(VLOOKUP($E90,Base!$B$7:$G$119,5,FALSE),"")</f>
        <v>0</v>
      </c>
      <c r="K90" s="190">
        <f>IFERROR(VLOOKUP($E90,Base!$B$7:$G$119,5,FALSE),"")</f>
        <v>0</v>
      </c>
      <c r="L90" s="190"/>
      <c r="M90" s="149"/>
      <c r="N90" s="149"/>
      <c r="O90" s="149"/>
      <c r="R90" s="78" t="s">
        <v>449</v>
      </c>
      <c r="W90" s="170"/>
      <c r="X90" s="171"/>
    </row>
    <row r="91" spans="3:24" x14ac:dyDescent="0.2">
      <c r="C91" s="173" t="str">
        <f t="shared" si="4"/>
        <v>TV Conecta + HD + Telefonía + 250 MegasResidencial</v>
      </c>
      <c r="D91" s="72">
        <f t="shared" si="5"/>
        <v>71</v>
      </c>
      <c r="E91" s="77" t="str">
        <v>TV Conecta + HD + Telefonía + 250 Megas</v>
      </c>
      <c r="F91" s="144" t="str">
        <f>IFERROR(VLOOKUP($E91,Base!$B$7:$G$119,2,FALSE),"")</f>
        <v>Residencial</v>
      </c>
      <c r="G91" s="144" t="str">
        <f>IFERROR(VLOOKUP($E91,Base!$B$7:$G$119,3,FALSE),"")</f>
        <v>STAR + Internet fijo + Telefonía fija</v>
      </c>
      <c r="H91" s="61" t="s">
        <v>138</v>
      </c>
      <c r="I91" s="91"/>
      <c r="J91" s="190">
        <f>IFERROR(VLOOKUP($E91,Base!$B$7:$G$119,5,FALSE),"")</f>
        <v>0</v>
      </c>
      <c r="K91" s="190">
        <f>IFERROR(VLOOKUP($E91,Base!$B$7:$G$119,5,FALSE),"")</f>
        <v>0</v>
      </c>
      <c r="L91" s="190"/>
      <c r="M91" s="149"/>
      <c r="N91" s="149"/>
      <c r="O91" s="149"/>
      <c r="R91" s="78" t="s">
        <v>449</v>
      </c>
      <c r="W91" s="170"/>
      <c r="X91" s="171"/>
    </row>
    <row r="92" spans="3:24" x14ac:dyDescent="0.2">
      <c r="C92" s="173" t="str">
        <f t="shared" si="4"/>
        <v>TV Conecta + HD + Telefonía + 250 Megas SimetricoResidencial</v>
      </c>
      <c r="D92" s="72">
        <f t="shared" si="5"/>
        <v>72</v>
      </c>
      <c r="E92" s="77" t="str">
        <v>TV Conecta + HD + Telefonía + 250 Megas Simetrico</v>
      </c>
      <c r="F92" s="144" t="str">
        <f>IFERROR(VLOOKUP($E92,Base!$B$7:$G$119,2,FALSE),"")</f>
        <v>Residencial</v>
      </c>
      <c r="G92" s="144" t="str">
        <f>IFERROR(VLOOKUP($E92,Base!$B$7:$G$119,3,FALSE),"")</f>
        <v>STAR + Internet fijo + Telefonía fija</v>
      </c>
      <c r="H92" s="61" t="s">
        <v>138</v>
      </c>
      <c r="I92" s="91"/>
      <c r="J92" s="190">
        <f>IFERROR(VLOOKUP($E92,Base!$B$7:$G$119,5,FALSE),"")</f>
        <v>0</v>
      </c>
      <c r="K92" s="190">
        <f>IFERROR(VLOOKUP($E92,Base!$B$7:$G$119,5,FALSE),"")</f>
        <v>0</v>
      </c>
      <c r="L92" s="190"/>
      <c r="M92" s="149"/>
      <c r="N92" s="149"/>
      <c r="O92" s="149"/>
      <c r="R92" s="78" t="s">
        <v>449</v>
      </c>
      <c r="W92" s="170"/>
      <c r="X92" s="171"/>
    </row>
    <row r="93" spans="3:24" x14ac:dyDescent="0.2">
      <c r="C93" s="173" t="str">
        <f t="shared" si="4"/>
        <v>TV Conecta + HD + Telefonía + 500 MegasResidencial</v>
      </c>
      <c r="D93" s="72">
        <f>1+D92</f>
        <v>73</v>
      </c>
      <c r="E93" s="77" t="str">
        <v>TV Conecta + HD + Telefonía + 500 Megas</v>
      </c>
      <c r="F93" s="144" t="str">
        <f>IFERROR(VLOOKUP($E93,Base!$B$7:$G$119,2,FALSE),"")</f>
        <v>Residencial</v>
      </c>
      <c r="G93" s="144" t="str">
        <f>IFERROR(VLOOKUP($E93,Base!$B$7:$G$119,3,FALSE),"")</f>
        <v>STAR + Internet fijo + Telefonía fija</v>
      </c>
      <c r="H93" s="61" t="s">
        <v>138</v>
      </c>
      <c r="I93" s="91"/>
      <c r="J93" s="190">
        <f>IFERROR(VLOOKUP($E93,Base!$B$7:$G$119,5,FALSE),"")</f>
        <v>0</v>
      </c>
      <c r="K93" s="190">
        <f>IFERROR(VLOOKUP($E93,Base!$B$7:$G$119,5,FALSE),"")</f>
        <v>0</v>
      </c>
      <c r="L93" s="190"/>
      <c r="M93" s="149"/>
      <c r="N93" s="149"/>
      <c r="O93" s="149"/>
      <c r="R93" s="78" t="s">
        <v>449</v>
      </c>
      <c r="W93" s="170"/>
      <c r="X93" s="171"/>
    </row>
    <row r="94" spans="3:24" x14ac:dyDescent="0.2">
      <c r="C94" s="173" t="str">
        <f t="shared" si="4"/>
        <v>TV Conecta + HD + Telefonía + 500 Megas SimetricoResidencial</v>
      </c>
      <c r="D94" s="72">
        <f>1+D93</f>
        <v>74</v>
      </c>
      <c r="E94" s="77" t="str">
        <v>TV Conecta + HD + Telefonía + 500 Megas Simetrico</v>
      </c>
      <c r="F94" s="144" t="str">
        <f>IFERROR(VLOOKUP($E94,Base!$B$7:$G$119,2,FALSE),"")</f>
        <v>Residencial</v>
      </c>
      <c r="G94" s="144" t="str">
        <f>IFERROR(VLOOKUP($E94,Base!$B$7:$G$119,3,FALSE),"")</f>
        <v>STAR + Internet fijo + Telefonía fija</v>
      </c>
      <c r="H94" s="61" t="s">
        <v>138</v>
      </c>
      <c r="I94" s="91"/>
      <c r="J94" s="190">
        <f>IFERROR(VLOOKUP($E94,Base!$B$7:$G$119,5,FALSE),"")</f>
        <v>0</v>
      </c>
      <c r="K94" s="190">
        <f>IFERROR(VLOOKUP($E94,Base!$B$7:$G$119,5,FALSE),"")</f>
        <v>0</v>
      </c>
      <c r="L94" s="190"/>
      <c r="M94" s="149"/>
      <c r="N94" s="149"/>
      <c r="O94" s="149"/>
      <c r="R94" s="78" t="s">
        <v>449</v>
      </c>
      <c r="W94" s="170"/>
      <c r="X94" s="171"/>
    </row>
    <row r="95" spans="3:24" x14ac:dyDescent="0.2">
      <c r="C95" s="173" t="str">
        <f t="shared" si="4"/>
        <v>TV Conecta + HD + Telefonía + 60 MegasResidencial</v>
      </c>
      <c r="D95" s="144">
        <f t="shared" ref="D95:D141" si="6">1+D94</f>
        <v>75</v>
      </c>
      <c r="E95" s="77" t="str">
        <v>TV Conecta + HD + Telefonía + 60 Megas</v>
      </c>
      <c r="F95" s="144" t="str">
        <f>IFERROR(VLOOKUP($E95,Base!$B$7:$G$119,2,FALSE),"")</f>
        <v>Residencial</v>
      </c>
      <c r="G95" s="144" t="str">
        <f>IFERROR(VLOOKUP($E95,Base!$B$7:$G$119,3,FALSE),"")</f>
        <v>STAR + Internet fijo + Telefonía fija</v>
      </c>
      <c r="H95" s="61" t="s">
        <v>138</v>
      </c>
      <c r="I95" s="91"/>
      <c r="J95" s="190">
        <f>IFERROR(VLOOKUP($E95,Base!$B$7:$G$119,5,FALSE),"")</f>
        <v>0</v>
      </c>
      <c r="K95" s="190">
        <f>IFERROR(VLOOKUP($E95,Base!$B$7:$G$119,5,FALSE),"")</f>
        <v>0</v>
      </c>
      <c r="L95" s="190"/>
      <c r="M95" s="149"/>
      <c r="N95" s="149"/>
      <c r="O95" s="149"/>
      <c r="R95" s="78" t="s">
        <v>449</v>
      </c>
      <c r="W95" s="170"/>
      <c r="X95" s="171"/>
    </row>
    <row r="96" spans="3:24" x14ac:dyDescent="0.2">
      <c r="C96" s="173" t="str">
        <f t="shared" si="4"/>
        <v>TV Conecta + HD + Telefonía + 60 Megas SimetricoResidencial</v>
      </c>
      <c r="D96" s="144">
        <f t="shared" si="6"/>
        <v>76</v>
      </c>
      <c r="E96" s="77" t="str">
        <v>TV Conecta + HD + Telefonía + 60 Megas Simetrico</v>
      </c>
      <c r="F96" s="144" t="str">
        <f>IFERROR(VLOOKUP($E96,Base!$B$7:$G$119,2,FALSE),"")</f>
        <v>Residencial</v>
      </c>
      <c r="G96" s="144" t="str">
        <f>IFERROR(VLOOKUP($E96,Base!$B$7:$G$119,3,FALSE),"")</f>
        <v>STAR + Internet fijo + Telefonía fija</v>
      </c>
      <c r="H96" s="61" t="s">
        <v>138</v>
      </c>
      <c r="I96" s="91"/>
      <c r="J96" s="190">
        <f>IFERROR(VLOOKUP($E96,Base!$B$7:$G$119,5,FALSE),"")</f>
        <v>0</v>
      </c>
      <c r="K96" s="190">
        <f>IFERROR(VLOOKUP($E96,Base!$B$7:$G$119,5,FALSE),"")</f>
        <v>0</v>
      </c>
      <c r="L96" s="190"/>
      <c r="M96" s="149"/>
      <c r="N96" s="149"/>
      <c r="O96" s="149"/>
      <c r="R96" s="78" t="s">
        <v>449</v>
      </c>
      <c r="W96" s="170"/>
      <c r="X96" s="171"/>
    </row>
    <row r="97" spans="3:24" x14ac:dyDescent="0.2">
      <c r="C97" s="173" t="str">
        <f t="shared" si="4"/>
        <v>TV Conecta + HD Negocio + Telefonía Negocio + 100 Megas NegocioNegocio</v>
      </c>
      <c r="D97" s="144">
        <f t="shared" si="6"/>
        <v>77</v>
      </c>
      <c r="E97" s="77" t="str">
        <v>TV Conecta + HD Negocio + Telefonía Negocio + 100 Megas Negocio</v>
      </c>
      <c r="F97" s="144" t="str">
        <f>IFERROR(VLOOKUP($E97,Base!$B$7:$G$119,2,FALSE),"")</f>
        <v>Negocio</v>
      </c>
      <c r="G97" s="144" t="str">
        <f>IFERROR(VLOOKUP($E97,Base!$B$7:$G$119,3,FALSE),"")</f>
        <v>STAR + Internet fijo + Telefonía fija</v>
      </c>
      <c r="H97" s="61" t="s">
        <v>138</v>
      </c>
      <c r="I97" s="91"/>
      <c r="J97" s="190">
        <f>IFERROR(VLOOKUP($E97,Base!$B$7:$G$119,5,FALSE),"")</f>
        <v>0</v>
      </c>
      <c r="K97" s="190">
        <f>IFERROR(VLOOKUP($E97,Base!$B$7:$G$119,5,FALSE),"")</f>
        <v>0</v>
      </c>
      <c r="L97" s="190"/>
      <c r="M97" s="149"/>
      <c r="N97" s="149"/>
      <c r="O97" s="149"/>
      <c r="R97" s="78" t="s">
        <v>449</v>
      </c>
      <c r="W97" s="170"/>
      <c r="X97" s="171"/>
    </row>
    <row r="98" spans="3:24" x14ac:dyDescent="0.2">
      <c r="C98" s="173" t="str">
        <f t="shared" si="4"/>
        <v>TV Conecta + HD Negocio + Telefonía Negocio + 100 Megas Simetrico NegocioNegocio</v>
      </c>
      <c r="D98" s="144">
        <f t="shared" si="6"/>
        <v>78</v>
      </c>
      <c r="E98" s="77" t="str">
        <v>TV Conecta + HD Negocio + Telefonía Negocio + 100 Megas Simetrico Negocio</v>
      </c>
      <c r="F98" s="144" t="str">
        <f>IFERROR(VLOOKUP($E98,Base!$B$7:$G$119,2,FALSE),"")</f>
        <v>Negocio</v>
      </c>
      <c r="G98" s="144" t="str">
        <f>IFERROR(VLOOKUP($E98,Base!$B$7:$G$119,3,FALSE),"")</f>
        <v>STAR + Internet fijo + Telefonía fija</v>
      </c>
      <c r="H98" s="61" t="s">
        <v>138</v>
      </c>
      <c r="I98" s="91"/>
      <c r="J98" s="190">
        <f>IFERROR(VLOOKUP($E98,Base!$B$7:$G$119,5,FALSE),"")</f>
        <v>0</v>
      </c>
      <c r="K98" s="190">
        <f>IFERROR(VLOOKUP($E98,Base!$B$7:$G$119,5,FALSE),"")</f>
        <v>0</v>
      </c>
      <c r="L98" s="190"/>
      <c r="M98" s="149"/>
      <c r="N98" s="149"/>
      <c r="O98" s="149"/>
      <c r="R98" s="78" t="s">
        <v>449</v>
      </c>
      <c r="W98" s="170"/>
      <c r="X98" s="171"/>
    </row>
    <row r="99" spans="3:24" x14ac:dyDescent="0.2">
      <c r="C99" s="173" t="str">
        <f t="shared" si="4"/>
        <v>TV Conecta + HD Negocio + Telefonía Negocio + 1000 Megas NegocioNegocio</v>
      </c>
      <c r="D99" s="144">
        <f t="shared" si="6"/>
        <v>79</v>
      </c>
      <c r="E99" s="77" t="str">
        <v>TV Conecta + HD Negocio + Telefonía Negocio + 1000 Megas Negocio</v>
      </c>
      <c r="F99" s="144" t="str">
        <f>IFERROR(VLOOKUP($E99,Base!$B$7:$G$119,2,FALSE),"")</f>
        <v>Negocio</v>
      </c>
      <c r="G99" s="144" t="str">
        <f>IFERROR(VLOOKUP($E99,Base!$B$7:$G$119,3,FALSE),"")</f>
        <v>STAR + Internet fijo + Telefonía fija</v>
      </c>
      <c r="H99" s="61" t="s">
        <v>138</v>
      </c>
      <c r="I99" s="91"/>
      <c r="J99" s="190">
        <f>IFERROR(VLOOKUP($E99,Base!$B$7:$G$119,5,FALSE),"")</f>
        <v>0</v>
      </c>
      <c r="K99" s="190">
        <f>IFERROR(VLOOKUP($E99,Base!$B$7:$G$119,5,FALSE),"")</f>
        <v>0</v>
      </c>
      <c r="L99" s="190"/>
      <c r="M99" s="149"/>
      <c r="N99" s="149"/>
      <c r="O99" s="149"/>
      <c r="R99" s="78" t="s">
        <v>449</v>
      </c>
      <c r="W99" s="170"/>
      <c r="X99" s="171"/>
    </row>
    <row r="100" spans="3:24" x14ac:dyDescent="0.2">
      <c r="C100" s="173" t="str">
        <f t="shared" si="4"/>
        <v>TV Conecta + HD Negocio + Telefonía Negocio + 250 Megas NegocioNegocio</v>
      </c>
      <c r="D100" s="144">
        <f t="shared" si="6"/>
        <v>80</v>
      </c>
      <c r="E100" s="77" t="str">
        <v>TV Conecta + HD Negocio + Telefonía Negocio + 250 Megas Negocio</v>
      </c>
      <c r="F100" s="144" t="str">
        <f>IFERROR(VLOOKUP($E100,Base!$B$7:$G$119,2,FALSE),"")</f>
        <v>Negocio</v>
      </c>
      <c r="G100" s="144" t="str">
        <f>IFERROR(VLOOKUP($E100,Base!$B$7:$G$119,3,FALSE),"")</f>
        <v>STAR + Internet fijo + Telefonía fija</v>
      </c>
      <c r="H100" s="61" t="s">
        <v>138</v>
      </c>
      <c r="I100" s="91"/>
      <c r="J100" s="190">
        <f>IFERROR(VLOOKUP($E100,Base!$B$7:$G$119,5,FALSE),"")</f>
        <v>0</v>
      </c>
      <c r="K100" s="190">
        <f>IFERROR(VLOOKUP($E100,Base!$B$7:$G$119,5,FALSE),"")</f>
        <v>0</v>
      </c>
      <c r="L100" s="190"/>
      <c r="M100" s="149"/>
      <c r="N100" s="149"/>
      <c r="O100" s="149"/>
      <c r="R100" s="78" t="s">
        <v>449</v>
      </c>
      <c r="W100" s="170"/>
      <c r="X100" s="171"/>
    </row>
    <row r="101" spans="3:24" x14ac:dyDescent="0.2">
      <c r="C101" s="173" t="str">
        <f t="shared" si="4"/>
        <v>TV Conecta + HD Negocio + Telefonía Negocio + 250 Megas Simetrico NegocioNegocio</v>
      </c>
      <c r="D101" s="144">
        <f t="shared" si="6"/>
        <v>81</v>
      </c>
      <c r="E101" s="77" t="str">
        <v>TV Conecta + HD Negocio + Telefonía Negocio + 250 Megas Simetrico Negocio</v>
      </c>
      <c r="F101" s="144" t="str">
        <f>IFERROR(VLOOKUP($E101,Base!$B$7:$G$119,2,FALSE),"")</f>
        <v>Negocio</v>
      </c>
      <c r="G101" s="144" t="str">
        <f>IFERROR(VLOOKUP($E101,Base!$B$7:$G$119,3,FALSE),"")</f>
        <v>STAR + Internet fijo + Telefonía fija</v>
      </c>
      <c r="H101" s="61" t="s">
        <v>138</v>
      </c>
      <c r="I101" s="91"/>
      <c r="J101" s="190">
        <f>IFERROR(VLOOKUP($E101,Base!$B$7:$G$119,5,FALSE),"")</f>
        <v>0</v>
      </c>
      <c r="K101" s="190">
        <f>IFERROR(VLOOKUP($E101,Base!$B$7:$G$119,5,FALSE),"")</f>
        <v>0</v>
      </c>
      <c r="L101" s="190"/>
      <c r="M101" s="149"/>
      <c r="N101" s="149"/>
      <c r="O101" s="149"/>
      <c r="R101" s="78" t="s">
        <v>449</v>
      </c>
      <c r="W101" s="170"/>
      <c r="X101" s="171"/>
    </row>
    <row r="102" spans="3:24" x14ac:dyDescent="0.2">
      <c r="C102" s="173" t="str">
        <f t="shared" si="4"/>
        <v>TV Conecta + HD Negocio + Telefonía Negocio + 500 Megas NegocioNegocio</v>
      </c>
      <c r="D102" s="144">
        <f t="shared" si="6"/>
        <v>82</v>
      </c>
      <c r="E102" s="77" t="str">
        <v>TV Conecta + HD Negocio + Telefonía Negocio + 500 Megas Negocio</v>
      </c>
      <c r="F102" s="144" t="str">
        <f>IFERROR(VLOOKUP($E102,Base!$B$7:$G$119,2,FALSE),"")</f>
        <v>Negocio</v>
      </c>
      <c r="G102" s="144" t="str">
        <f>IFERROR(VLOOKUP($E102,Base!$B$7:$G$119,3,FALSE),"")</f>
        <v>STAR + Internet fijo + Telefonía fija</v>
      </c>
      <c r="H102" s="61" t="s">
        <v>138</v>
      </c>
      <c r="I102" s="91"/>
      <c r="J102" s="190">
        <f>IFERROR(VLOOKUP($E102,Base!$B$7:$G$119,5,FALSE),"")</f>
        <v>0</v>
      </c>
      <c r="K102" s="190">
        <f>IFERROR(VLOOKUP($E102,Base!$B$7:$G$119,5,FALSE),"")</f>
        <v>0</v>
      </c>
      <c r="L102" s="190"/>
      <c r="M102" s="149"/>
      <c r="N102" s="149"/>
      <c r="O102" s="149"/>
      <c r="R102" s="78" t="s">
        <v>449</v>
      </c>
      <c r="W102" s="170"/>
      <c r="X102" s="171"/>
    </row>
    <row r="103" spans="3:24" x14ac:dyDescent="0.2">
      <c r="C103" s="173" t="str">
        <f t="shared" si="4"/>
        <v>TV Conecta + HD Negocio + Telefonía Negocio + 500 Megas Simetrico NegocioNegocio</v>
      </c>
      <c r="D103" s="144">
        <f t="shared" si="6"/>
        <v>83</v>
      </c>
      <c r="E103" s="77" t="str">
        <v>TV Conecta + HD Negocio + Telefonía Negocio + 500 Megas Simetrico Negocio</v>
      </c>
      <c r="F103" s="144" t="str">
        <f>IFERROR(VLOOKUP($E103,Base!$B$7:$G$119,2,FALSE),"")</f>
        <v>Negocio</v>
      </c>
      <c r="G103" s="144" t="str">
        <f>IFERROR(VLOOKUP($E103,Base!$B$7:$G$119,3,FALSE),"")</f>
        <v>STAR + Internet fijo + Telefonía fija</v>
      </c>
      <c r="H103" s="61" t="s">
        <v>138</v>
      </c>
      <c r="I103" s="91"/>
      <c r="J103" s="190">
        <f>IFERROR(VLOOKUP($E103,Base!$B$7:$G$119,5,FALSE),"")</f>
        <v>0</v>
      </c>
      <c r="K103" s="190">
        <f>IFERROR(VLOOKUP($E103,Base!$B$7:$G$119,5,FALSE),"")</f>
        <v>0</v>
      </c>
      <c r="L103" s="190"/>
      <c r="M103" s="149"/>
      <c r="N103" s="149"/>
      <c r="O103" s="149"/>
      <c r="R103" s="78" t="s">
        <v>449</v>
      </c>
      <c r="W103" s="170"/>
      <c r="X103" s="171"/>
    </row>
    <row r="104" spans="3:24" x14ac:dyDescent="0.2">
      <c r="C104" s="173" t="str">
        <f t="shared" si="4"/>
        <v>TV Conecta + HD Negocio + Telefonía Negocio + 60 Megas NegocioNegocio</v>
      </c>
      <c r="D104" s="144">
        <f t="shared" si="6"/>
        <v>84</v>
      </c>
      <c r="E104" s="77" t="str">
        <v>TV Conecta + HD Negocio + Telefonía Negocio + 60 Megas Negocio</v>
      </c>
      <c r="F104" s="144" t="str">
        <f>IFERROR(VLOOKUP($E104,Base!$B$7:$G$119,2,FALSE),"")</f>
        <v>Negocio</v>
      </c>
      <c r="G104" s="144" t="str">
        <f>IFERROR(VLOOKUP($E104,Base!$B$7:$G$119,3,FALSE),"")</f>
        <v>STAR + Internet fijo + Telefonía fija</v>
      </c>
      <c r="H104" s="61" t="s">
        <v>138</v>
      </c>
      <c r="I104" s="91"/>
      <c r="J104" s="190">
        <f>IFERROR(VLOOKUP($E104,Base!$B$7:$G$119,5,FALSE),"")</f>
        <v>0</v>
      </c>
      <c r="K104" s="190">
        <f>IFERROR(VLOOKUP($E104,Base!$B$7:$G$119,5,FALSE),"")</f>
        <v>0</v>
      </c>
      <c r="L104" s="190"/>
      <c r="M104" s="149"/>
      <c r="N104" s="149"/>
      <c r="O104" s="149"/>
      <c r="R104" s="78" t="s">
        <v>449</v>
      </c>
      <c r="W104" s="170"/>
      <c r="X104" s="171"/>
    </row>
    <row r="105" spans="3:24" x14ac:dyDescent="0.2">
      <c r="C105" s="173" t="str">
        <f t="shared" si="4"/>
        <v>TV Conecta + HD Negocio + Telefonía Negocio + 60 Megas Simetrico NegocioNegocio</v>
      </c>
      <c r="D105" s="144">
        <f t="shared" si="6"/>
        <v>85</v>
      </c>
      <c r="E105" s="77" t="str">
        <v>TV Conecta + HD Negocio + Telefonía Negocio + 60 Megas Simetrico Negocio</v>
      </c>
      <c r="F105" s="144" t="str">
        <f>IFERROR(VLOOKUP($E105,Base!$B$7:$G$119,2,FALSE),"")</f>
        <v>Negocio</v>
      </c>
      <c r="G105" s="144" t="str">
        <f>IFERROR(VLOOKUP($E105,Base!$B$7:$G$119,3,FALSE),"")</f>
        <v>STAR + Internet fijo + Telefonía fija</v>
      </c>
      <c r="H105" s="61" t="s">
        <v>138</v>
      </c>
      <c r="I105" s="91"/>
      <c r="J105" s="190">
        <f>IFERROR(VLOOKUP($E105,Base!$B$7:$G$119,5,FALSE),"")</f>
        <v>0</v>
      </c>
      <c r="K105" s="190">
        <f>IFERROR(VLOOKUP($E105,Base!$B$7:$G$119,5,FALSE),"")</f>
        <v>0</v>
      </c>
      <c r="L105" s="190"/>
      <c r="M105" s="149"/>
      <c r="N105" s="149"/>
      <c r="O105" s="149"/>
      <c r="R105" s="78" t="s">
        <v>449</v>
      </c>
      <c r="W105" s="170"/>
      <c r="X105" s="171"/>
    </row>
    <row r="106" spans="3:24" x14ac:dyDescent="0.2">
      <c r="C106" s="173" t="str">
        <f t="shared" si="4"/>
        <v>TV Conecta Negocio + 100 Megas NegocioNegocio</v>
      </c>
      <c r="D106" s="144">
        <f t="shared" si="6"/>
        <v>86</v>
      </c>
      <c r="E106" s="77" t="str">
        <v>TV Conecta Negocio + 100 Megas Negocio</v>
      </c>
      <c r="F106" s="144" t="str">
        <f>IFERROR(VLOOKUP($E106,Base!$B$7:$G$119,2,FALSE),"")</f>
        <v>Negocio</v>
      </c>
      <c r="G106" s="144" t="str">
        <f>IFERROR(VLOOKUP($E106,Base!$B$7:$G$119,3,FALSE),"")</f>
        <v>STAR + Internet fijo</v>
      </c>
      <c r="H106" s="61" t="s">
        <v>138</v>
      </c>
      <c r="I106" s="91"/>
      <c r="J106" s="190">
        <f>IFERROR(VLOOKUP($E106,Base!$B$7:$G$119,5,FALSE),"")</f>
        <v>2.0000000000000001E-4</v>
      </c>
      <c r="K106" s="190">
        <f>IFERROR(VLOOKUP($E106,Base!$B$7:$G$119,5,FALSE),"")</f>
        <v>2.0000000000000001E-4</v>
      </c>
      <c r="L106" s="190"/>
      <c r="M106" s="149"/>
      <c r="N106" s="149"/>
      <c r="O106" s="149"/>
      <c r="R106" s="78" t="s">
        <v>449</v>
      </c>
      <c r="W106" s="170"/>
      <c r="X106" s="171"/>
    </row>
    <row r="107" spans="3:24" x14ac:dyDescent="0.2">
      <c r="C107" s="173" t="str">
        <f t="shared" si="4"/>
        <v>TV Conecta Negocio + 100 Megas Simetrico NegocioNegocio</v>
      </c>
      <c r="D107" s="144">
        <f t="shared" si="6"/>
        <v>87</v>
      </c>
      <c r="E107" s="77" t="str">
        <v>TV Conecta Negocio + 100 Megas Simetrico Negocio</v>
      </c>
      <c r="F107" s="144" t="str">
        <f>IFERROR(VLOOKUP($E107,Base!$B$7:$G$119,2,FALSE),"")</f>
        <v>Negocio</v>
      </c>
      <c r="G107" s="144" t="str">
        <f>IFERROR(VLOOKUP($E107,Base!$B$7:$G$119,3,FALSE),"")</f>
        <v>STAR + Internet fijo</v>
      </c>
      <c r="H107" s="61" t="s">
        <v>138</v>
      </c>
      <c r="I107" s="91"/>
      <c r="J107" s="190">
        <f>IFERROR(VLOOKUP($E107,Base!$B$7:$G$119,5,FALSE),"")</f>
        <v>0</v>
      </c>
      <c r="K107" s="190">
        <f>IFERROR(VLOOKUP($E107,Base!$B$7:$G$119,5,FALSE),"")</f>
        <v>0</v>
      </c>
      <c r="L107" s="190"/>
      <c r="M107" s="149"/>
      <c r="N107" s="149"/>
      <c r="O107" s="149"/>
      <c r="R107" s="78" t="s">
        <v>449</v>
      </c>
      <c r="W107" s="170"/>
      <c r="X107" s="171"/>
    </row>
    <row r="108" spans="3:24" x14ac:dyDescent="0.2">
      <c r="C108" s="173" t="str">
        <f t="shared" si="4"/>
        <v>TV Conecta Negocio + 1000 Megas NegocioNegocio</v>
      </c>
      <c r="D108" s="144">
        <f t="shared" si="6"/>
        <v>88</v>
      </c>
      <c r="E108" s="77" t="str">
        <v>TV Conecta Negocio + 1000 Megas Negocio</v>
      </c>
      <c r="F108" s="144" t="str">
        <f>IFERROR(VLOOKUP($E108,Base!$B$7:$G$119,2,FALSE),"")</f>
        <v>Negocio</v>
      </c>
      <c r="G108" s="144" t="str">
        <f>IFERROR(VLOOKUP($E108,Base!$B$7:$G$119,3,FALSE),"")</f>
        <v>STAR + Internet fijo</v>
      </c>
      <c r="H108" s="61" t="s">
        <v>138</v>
      </c>
      <c r="I108" s="91"/>
      <c r="J108" s="190">
        <f>IFERROR(VLOOKUP($E108,Base!$B$7:$G$119,5,FALSE),"")</f>
        <v>1E-4</v>
      </c>
      <c r="K108" s="190">
        <f>IFERROR(VLOOKUP($E108,Base!$B$7:$G$119,5,FALSE),"")</f>
        <v>1E-4</v>
      </c>
      <c r="L108" s="190"/>
      <c r="M108" s="149"/>
      <c r="N108" s="149"/>
      <c r="O108" s="149"/>
      <c r="R108" s="78" t="s">
        <v>449</v>
      </c>
      <c r="W108" s="170"/>
      <c r="X108" s="171"/>
    </row>
    <row r="109" spans="3:24" x14ac:dyDescent="0.2">
      <c r="C109" s="173" t="str">
        <f t="shared" si="4"/>
        <v>TV Conecta Negocio + 250 Megas NegocioNegocio</v>
      </c>
      <c r="D109" s="144">
        <f t="shared" si="6"/>
        <v>89</v>
      </c>
      <c r="E109" s="77" t="str">
        <v>TV Conecta Negocio + 250 Megas Negocio</v>
      </c>
      <c r="F109" s="144" t="str">
        <f>IFERROR(VLOOKUP($E109,Base!$B$7:$G$119,2,FALSE),"")</f>
        <v>Negocio</v>
      </c>
      <c r="G109" s="144" t="str">
        <f>IFERROR(VLOOKUP($E109,Base!$B$7:$G$119,3,FALSE),"")</f>
        <v>STAR + Internet fijo</v>
      </c>
      <c r="H109" s="61" t="s">
        <v>138</v>
      </c>
      <c r="I109" s="91"/>
      <c r="J109" s="190">
        <f>IFERROR(VLOOKUP($E109,Base!$B$7:$G$119,5,FALSE),"")</f>
        <v>1.9E-3</v>
      </c>
      <c r="K109" s="190">
        <f>IFERROR(VLOOKUP($E109,Base!$B$7:$G$119,5,FALSE),"")</f>
        <v>1.9E-3</v>
      </c>
      <c r="L109" s="190"/>
      <c r="M109" s="149"/>
      <c r="N109" s="149"/>
      <c r="O109" s="149"/>
      <c r="R109" s="78" t="s">
        <v>449</v>
      </c>
      <c r="W109" s="170"/>
      <c r="X109" s="171"/>
    </row>
    <row r="110" spans="3:24" x14ac:dyDescent="0.2">
      <c r="C110" s="173" t="str">
        <f t="shared" si="4"/>
        <v>TV Conecta Negocio + 250 Megas Simetrico NegocioNegocio</v>
      </c>
      <c r="D110" s="144">
        <f t="shared" si="6"/>
        <v>90</v>
      </c>
      <c r="E110" s="77" t="str">
        <v>TV Conecta Negocio + 250 Megas Simetrico Negocio</v>
      </c>
      <c r="F110" s="144" t="str">
        <f>IFERROR(VLOOKUP($E110,Base!$B$7:$G$119,2,FALSE),"")</f>
        <v>Negocio</v>
      </c>
      <c r="G110" s="144" t="str">
        <f>IFERROR(VLOOKUP($E110,Base!$B$7:$G$119,3,FALSE),"")</f>
        <v>STAR + Internet fijo</v>
      </c>
      <c r="H110" s="61" t="s">
        <v>138</v>
      </c>
      <c r="I110" s="91"/>
      <c r="J110" s="190">
        <f>IFERROR(VLOOKUP($E110,Base!$B$7:$G$119,5,FALSE),"")</f>
        <v>0</v>
      </c>
      <c r="K110" s="190">
        <f>IFERROR(VLOOKUP($E110,Base!$B$7:$G$119,5,FALSE),"")</f>
        <v>0</v>
      </c>
      <c r="L110" s="190"/>
      <c r="M110" s="149"/>
      <c r="N110" s="149"/>
      <c r="O110" s="149"/>
      <c r="R110" s="78" t="s">
        <v>449</v>
      </c>
      <c r="W110" s="170"/>
      <c r="X110" s="171"/>
    </row>
    <row r="111" spans="3:24" x14ac:dyDescent="0.2">
      <c r="C111" s="173" t="str">
        <f t="shared" si="4"/>
        <v>TV Conecta Negocio + 500 Megas NegocioNegocio</v>
      </c>
      <c r="D111" s="144">
        <f t="shared" si="6"/>
        <v>91</v>
      </c>
      <c r="E111" s="77" t="str">
        <v>TV Conecta Negocio + 500 Megas Negocio</v>
      </c>
      <c r="F111" s="144" t="str">
        <f>IFERROR(VLOOKUP($E111,Base!$B$7:$G$119,2,FALSE),"")</f>
        <v>Negocio</v>
      </c>
      <c r="G111" s="144" t="str">
        <f>IFERROR(VLOOKUP($E111,Base!$B$7:$G$119,3,FALSE),"")</f>
        <v>STAR + Internet fijo</v>
      </c>
      <c r="H111" s="61" t="s">
        <v>138</v>
      </c>
      <c r="I111" s="91"/>
      <c r="J111" s="190">
        <f>IFERROR(VLOOKUP($E111,Base!$B$7:$G$119,5,FALSE),"")</f>
        <v>1E-4</v>
      </c>
      <c r="K111" s="190">
        <f>IFERROR(VLOOKUP($E111,Base!$B$7:$G$119,5,FALSE),"")</f>
        <v>1E-4</v>
      </c>
      <c r="L111" s="190"/>
      <c r="M111" s="149"/>
      <c r="N111" s="149"/>
      <c r="O111" s="149"/>
      <c r="R111" s="78" t="s">
        <v>449</v>
      </c>
      <c r="W111" s="170"/>
      <c r="X111" s="171"/>
    </row>
    <row r="112" spans="3:24" x14ac:dyDescent="0.2">
      <c r="C112" s="173" t="str">
        <f t="shared" si="4"/>
        <v>TV Conecta Negocio + 500 Megas Simetrico NegocioNegocio</v>
      </c>
      <c r="D112" s="144">
        <f t="shared" si="6"/>
        <v>92</v>
      </c>
      <c r="E112" s="77" t="str">
        <v>TV Conecta Negocio + 500 Megas Simetrico Negocio</v>
      </c>
      <c r="F112" s="144" t="str">
        <f>IFERROR(VLOOKUP($E112,Base!$B$7:$G$119,2,FALSE),"")</f>
        <v>Negocio</v>
      </c>
      <c r="G112" s="144" t="str">
        <f>IFERROR(VLOOKUP($E112,Base!$B$7:$G$119,3,FALSE),"")</f>
        <v>STAR + Internet fijo</v>
      </c>
      <c r="H112" s="61" t="s">
        <v>138</v>
      </c>
      <c r="I112" s="91"/>
      <c r="J112" s="190">
        <f>IFERROR(VLOOKUP($E112,Base!$B$7:$G$119,5,FALSE),"")</f>
        <v>0</v>
      </c>
      <c r="K112" s="190">
        <f>IFERROR(VLOOKUP($E112,Base!$B$7:$G$119,5,FALSE),"")</f>
        <v>0</v>
      </c>
      <c r="L112" s="190"/>
      <c r="M112" s="149"/>
      <c r="N112" s="149"/>
      <c r="O112" s="149"/>
      <c r="R112" s="78" t="s">
        <v>449</v>
      </c>
      <c r="W112" s="170"/>
      <c r="X112" s="171"/>
    </row>
    <row r="113" spans="3:24" x14ac:dyDescent="0.2">
      <c r="C113" s="173" t="str">
        <f t="shared" si="4"/>
        <v>TV Conecta Negocio + 60 Megas NegocioNegocio</v>
      </c>
      <c r="D113" s="144">
        <f t="shared" si="6"/>
        <v>93</v>
      </c>
      <c r="E113" s="77" t="str">
        <v>TV Conecta Negocio + 60 Megas Negocio</v>
      </c>
      <c r="F113" s="144" t="str">
        <f>IFERROR(VLOOKUP($E113,Base!$B$7:$G$119,2,FALSE),"")</f>
        <v>Negocio</v>
      </c>
      <c r="G113" s="144" t="str">
        <f>IFERROR(VLOOKUP($E113,Base!$B$7:$G$119,3,FALSE),"")</f>
        <v>STAR + Internet fijo</v>
      </c>
      <c r="H113" s="61" t="s">
        <v>138</v>
      </c>
      <c r="I113" s="91"/>
      <c r="J113" s="190">
        <f>IFERROR(VLOOKUP($E113,Base!$B$7:$G$119,5,FALSE),"")</f>
        <v>7.0000000000000001E-3</v>
      </c>
      <c r="K113" s="190">
        <f>IFERROR(VLOOKUP($E113,Base!$B$7:$G$119,5,FALSE),"")</f>
        <v>7.0000000000000001E-3</v>
      </c>
      <c r="L113" s="190"/>
      <c r="M113" s="149"/>
      <c r="N113" s="149"/>
      <c r="O113" s="149"/>
      <c r="R113" s="78" t="s">
        <v>449</v>
      </c>
      <c r="W113" s="170"/>
      <c r="X113" s="171"/>
    </row>
    <row r="114" spans="3:24" x14ac:dyDescent="0.2">
      <c r="C114" s="173" t="str">
        <f t="shared" si="4"/>
        <v>TV Conecta Negocio + 60 Megas Simetrico NegocioNegocio</v>
      </c>
      <c r="D114" s="144">
        <f t="shared" si="6"/>
        <v>94</v>
      </c>
      <c r="E114" s="77" t="str">
        <v>TV Conecta Negocio + 60 Megas Simetrico Negocio</v>
      </c>
      <c r="F114" s="144" t="str">
        <f>IFERROR(VLOOKUP($E114,Base!$B$7:$G$119,2,FALSE),"")</f>
        <v>Negocio</v>
      </c>
      <c r="G114" s="144" t="str">
        <f>IFERROR(VLOOKUP($E114,Base!$B$7:$G$119,3,FALSE),"")</f>
        <v>STAR + Internet fijo</v>
      </c>
      <c r="H114" s="61" t="s">
        <v>138</v>
      </c>
      <c r="I114" s="91"/>
      <c r="J114" s="190">
        <f>IFERROR(VLOOKUP($E114,Base!$B$7:$G$119,5,FALSE),"")</f>
        <v>0</v>
      </c>
      <c r="K114" s="190">
        <f>IFERROR(VLOOKUP($E114,Base!$B$7:$G$119,5,FALSE),"")</f>
        <v>0</v>
      </c>
      <c r="L114" s="190"/>
      <c r="M114" s="149"/>
      <c r="N114" s="149"/>
      <c r="O114" s="149"/>
      <c r="R114" s="78" t="s">
        <v>449</v>
      </c>
      <c r="W114" s="170"/>
      <c r="X114" s="171"/>
    </row>
    <row r="115" spans="3:24" x14ac:dyDescent="0.2">
      <c r="C115" s="173" t="str">
        <f t="shared" si="4"/>
        <v>TV Conecta Xview+ + Telefonía + 100 MegasResidencial</v>
      </c>
      <c r="D115" s="144">
        <f t="shared" si="6"/>
        <v>95</v>
      </c>
      <c r="E115" s="77" t="str">
        <v>TV Conecta Xview+ + Telefonía + 100 Megas</v>
      </c>
      <c r="F115" s="144" t="str">
        <f>IFERROR(VLOOKUP($E115,Base!$B$7:$G$119,2,FALSE),"")</f>
        <v>Residencial</v>
      </c>
      <c r="G115" s="144" t="str">
        <f>IFERROR(VLOOKUP($E115,Base!$B$7:$G$119,3,FALSE),"")</f>
        <v>STAR + Internet fijo + Telefonía fija</v>
      </c>
      <c r="H115" s="61" t="s">
        <v>138</v>
      </c>
      <c r="I115" s="91"/>
      <c r="J115" s="190">
        <f>IFERROR(VLOOKUP($E115,Base!$B$7:$G$119,5,FALSE),"")</f>
        <v>0.24759999999999999</v>
      </c>
      <c r="K115" s="190">
        <f>IFERROR(VLOOKUP($E115,Base!$B$7:$G$119,5,FALSE),"")</f>
        <v>0.24759999999999999</v>
      </c>
      <c r="L115" s="190"/>
      <c r="M115" s="149"/>
      <c r="N115" s="149"/>
      <c r="O115" s="149"/>
      <c r="R115" s="78" t="s">
        <v>449</v>
      </c>
      <c r="W115" s="170"/>
      <c r="X115" s="171"/>
    </row>
    <row r="116" spans="3:24" x14ac:dyDescent="0.2">
      <c r="C116" s="173" t="str">
        <f t="shared" si="4"/>
        <v>TV Conecta Xview+ + Telefonía + 100 Megas SimetricoResidencial</v>
      </c>
      <c r="D116" s="144">
        <f t="shared" si="6"/>
        <v>96</v>
      </c>
      <c r="E116" s="77" t="str">
        <v>TV Conecta Xview+ + Telefonía + 100 Megas Simetrico</v>
      </c>
      <c r="F116" s="144" t="str">
        <f>IFERROR(VLOOKUP($E116,Base!$B$7:$G$119,2,FALSE),"")</f>
        <v>Residencial</v>
      </c>
      <c r="G116" s="144" t="str">
        <f>IFERROR(VLOOKUP($E116,Base!$B$7:$G$119,3,FALSE),"")</f>
        <v>STAR + Internet fijo + Telefonía fija</v>
      </c>
      <c r="H116" s="61" t="s">
        <v>138</v>
      </c>
      <c r="I116" s="91"/>
      <c r="J116" s="190">
        <f>IFERROR(VLOOKUP($E116,Base!$B$7:$G$119,5,FALSE),"")</f>
        <v>1E-4</v>
      </c>
      <c r="K116" s="190">
        <f>IFERROR(VLOOKUP($E116,Base!$B$7:$G$119,5,FALSE),"")</f>
        <v>1E-4</v>
      </c>
      <c r="L116" s="190"/>
      <c r="M116" s="149"/>
      <c r="N116" s="149"/>
      <c r="O116" s="149"/>
      <c r="R116" s="78" t="s">
        <v>449</v>
      </c>
      <c r="W116" s="170"/>
      <c r="X116" s="171"/>
    </row>
    <row r="117" spans="3:24" x14ac:dyDescent="0.2">
      <c r="C117" s="173" t="str">
        <f t="shared" si="4"/>
        <v>TV Conecta Xview+ + Telefonía + 1000 MegasResidencial</v>
      </c>
      <c r="D117" s="144">
        <f t="shared" si="6"/>
        <v>97</v>
      </c>
      <c r="E117" s="77" t="str">
        <v>TV Conecta Xview+ + Telefonía + 1000 Megas</v>
      </c>
      <c r="F117" s="144" t="str">
        <f>IFERROR(VLOOKUP($E117,Base!$B$7:$G$119,2,FALSE),"")</f>
        <v>Residencial</v>
      </c>
      <c r="G117" s="144" t="str">
        <f>IFERROR(VLOOKUP($E117,Base!$B$7:$G$119,3,FALSE),"")</f>
        <v>STAR + Internet fijo + Telefonía fija</v>
      </c>
      <c r="H117" s="61" t="s">
        <v>138</v>
      </c>
      <c r="I117" s="91"/>
      <c r="J117" s="190">
        <f>IFERROR(VLOOKUP($E117,Base!$B$7:$G$119,5,FALSE),"")</f>
        <v>2.0000000000000001E-4</v>
      </c>
      <c r="K117" s="190">
        <f>IFERROR(VLOOKUP($E117,Base!$B$7:$G$119,5,FALSE),"")</f>
        <v>2.0000000000000001E-4</v>
      </c>
      <c r="L117" s="190"/>
      <c r="M117" s="149"/>
      <c r="N117" s="149"/>
      <c r="O117" s="149"/>
      <c r="R117" s="78" t="s">
        <v>449</v>
      </c>
      <c r="W117" s="170"/>
      <c r="X117" s="171"/>
    </row>
    <row r="118" spans="3:24" x14ac:dyDescent="0.2">
      <c r="C118" s="173" t="str">
        <f t="shared" si="4"/>
        <v>TV Conecta Xview+ + Telefonía + 250 MegasResidencial</v>
      </c>
      <c r="D118" s="144">
        <f t="shared" si="6"/>
        <v>98</v>
      </c>
      <c r="E118" s="77" t="str">
        <v>TV Conecta Xview+ + Telefonía + 250 Megas</v>
      </c>
      <c r="F118" s="144" t="str">
        <f>IFERROR(VLOOKUP($E118,Base!$B$7:$G$119,2,FALSE),"")</f>
        <v>Residencial</v>
      </c>
      <c r="G118" s="144" t="str">
        <f>IFERROR(VLOOKUP($E118,Base!$B$7:$G$119,3,FALSE),"")</f>
        <v>STAR + Internet fijo + Telefonía fija</v>
      </c>
      <c r="H118" s="61" t="s">
        <v>138</v>
      </c>
      <c r="I118" s="91"/>
      <c r="J118" s="190">
        <f>IFERROR(VLOOKUP($E118,Base!$B$7:$G$119,5,FALSE),"")</f>
        <v>8.7400000000000005E-2</v>
      </c>
      <c r="K118" s="190">
        <f>IFERROR(VLOOKUP($E118,Base!$B$7:$G$119,5,FALSE),"")</f>
        <v>8.7400000000000005E-2</v>
      </c>
      <c r="L118" s="190"/>
      <c r="M118" s="149"/>
      <c r="N118" s="149"/>
      <c r="O118" s="149"/>
      <c r="R118" s="78" t="s">
        <v>449</v>
      </c>
      <c r="W118" s="170"/>
      <c r="X118" s="171"/>
    </row>
    <row r="119" spans="3:24" x14ac:dyDescent="0.2">
      <c r="C119" s="173" t="str">
        <f t="shared" si="4"/>
        <v>TV Conecta Xview+ + Telefonía + 250 Megas SimetricoResidencial</v>
      </c>
      <c r="D119" s="144">
        <f t="shared" si="6"/>
        <v>99</v>
      </c>
      <c r="E119" s="77" t="str">
        <v>TV Conecta Xview+ + Telefonía + 250 Megas Simetrico</v>
      </c>
      <c r="F119" s="144" t="str">
        <f>IFERROR(VLOOKUP($E119,Base!$B$7:$G$119,2,FALSE),"")</f>
        <v>Residencial</v>
      </c>
      <c r="G119" s="144" t="str">
        <f>IFERROR(VLOOKUP($E119,Base!$B$7:$G$119,3,FALSE),"")</f>
        <v>STAR + Internet fijo + Telefonía fija</v>
      </c>
      <c r="H119" s="61" t="s">
        <v>138</v>
      </c>
      <c r="I119" s="91"/>
      <c r="J119" s="190">
        <f>IFERROR(VLOOKUP($E119,Base!$B$7:$G$119,5,FALSE),"")</f>
        <v>1E-4</v>
      </c>
      <c r="K119" s="190">
        <f>IFERROR(VLOOKUP($E119,Base!$B$7:$G$119,5,FALSE),"")</f>
        <v>1E-4</v>
      </c>
      <c r="L119" s="190"/>
      <c r="M119" s="149"/>
      <c r="N119" s="149"/>
      <c r="O119" s="149"/>
      <c r="R119" s="78" t="s">
        <v>449</v>
      </c>
      <c r="W119" s="170"/>
      <c r="X119" s="171"/>
    </row>
    <row r="120" spans="3:24" x14ac:dyDescent="0.2">
      <c r="C120" s="173" t="str">
        <f t="shared" si="4"/>
        <v>TV Conecta Xview+ + Telefonía + 500 MegasResidencial</v>
      </c>
      <c r="D120" s="144">
        <f t="shared" si="6"/>
        <v>100</v>
      </c>
      <c r="E120" s="77" t="str">
        <v>TV Conecta Xview+ + Telefonía + 500 Megas</v>
      </c>
      <c r="F120" s="144" t="str">
        <f>IFERROR(VLOOKUP($E120,Base!$B$7:$G$119,2,FALSE),"")</f>
        <v>Residencial</v>
      </c>
      <c r="G120" s="144" t="str">
        <f>IFERROR(VLOOKUP($E120,Base!$B$7:$G$119,3,FALSE),"")</f>
        <v>STAR + Internet fijo + Telefonía fija</v>
      </c>
      <c r="H120" s="61" t="s">
        <v>138</v>
      </c>
      <c r="I120" s="91"/>
      <c r="J120" s="190">
        <f>IFERROR(VLOOKUP($E120,Base!$B$7:$G$119,5,FALSE),"")</f>
        <v>3.2000000000000002E-3</v>
      </c>
      <c r="K120" s="190">
        <f>IFERROR(VLOOKUP($E120,Base!$B$7:$G$119,5,FALSE),"")</f>
        <v>3.2000000000000002E-3</v>
      </c>
      <c r="L120" s="190"/>
      <c r="M120" s="149"/>
      <c r="N120" s="149"/>
      <c r="O120" s="149"/>
      <c r="R120" s="78" t="s">
        <v>449</v>
      </c>
      <c r="W120" s="170"/>
      <c r="X120" s="171"/>
    </row>
    <row r="121" spans="3:24" x14ac:dyDescent="0.2">
      <c r="C121" s="173" t="str">
        <f t="shared" si="4"/>
        <v>TV Conecta Xview+ + Telefonía + 500 Megas SimetricoResidencial</v>
      </c>
      <c r="D121" s="144">
        <f t="shared" si="6"/>
        <v>101</v>
      </c>
      <c r="E121" s="77" t="str">
        <v>TV Conecta Xview+ + Telefonía + 500 Megas Simetrico</v>
      </c>
      <c r="F121" s="144" t="str">
        <f>IFERROR(VLOOKUP($E121,Base!$B$7:$G$119,2,FALSE),"")</f>
        <v>Residencial</v>
      </c>
      <c r="G121" s="144" t="str">
        <f>IFERROR(VLOOKUP($E121,Base!$B$7:$G$119,3,FALSE),"")</f>
        <v>STAR + Internet fijo + Telefonía fija</v>
      </c>
      <c r="H121" s="61" t="s">
        <v>138</v>
      </c>
      <c r="I121" s="91"/>
      <c r="J121" s="190">
        <f>IFERROR(VLOOKUP($E121,Base!$B$7:$G$119,5,FALSE),"")</f>
        <v>1E-4</v>
      </c>
      <c r="K121" s="190">
        <f>IFERROR(VLOOKUP($E121,Base!$B$7:$G$119,5,FALSE),"")</f>
        <v>1E-4</v>
      </c>
      <c r="L121" s="190"/>
      <c r="M121" s="149"/>
      <c r="N121" s="149"/>
      <c r="O121" s="149"/>
      <c r="R121" s="78" t="s">
        <v>449</v>
      </c>
      <c r="W121" s="170"/>
      <c r="X121" s="171"/>
    </row>
    <row r="122" spans="3:24" x14ac:dyDescent="0.2">
      <c r="C122" s="173" t="str">
        <f t="shared" si="4"/>
        <v>TV Conecta Xview+ + Telefonía + 60 MegasResidencial</v>
      </c>
      <c r="D122" s="144">
        <f t="shared" si="6"/>
        <v>102</v>
      </c>
      <c r="E122" s="77" t="str">
        <v>TV Conecta Xview+ + Telefonía + 60 Megas</v>
      </c>
      <c r="F122" s="144" t="str">
        <f>IFERROR(VLOOKUP($E122,Base!$B$7:$G$119,2,FALSE),"")</f>
        <v>Residencial</v>
      </c>
      <c r="G122" s="144" t="str">
        <f>IFERROR(VLOOKUP($E122,Base!$B$7:$G$119,3,FALSE),"")</f>
        <v>STAR + Internet fijo + Telefonía fija</v>
      </c>
      <c r="H122" s="61" t="s">
        <v>138</v>
      </c>
      <c r="I122" s="91"/>
      <c r="J122" s="190">
        <f>IFERROR(VLOOKUP($E122,Base!$B$7:$G$119,5,FALSE),"")</f>
        <v>0.43209999999999998</v>
      </c>
      <c r="K122" s="190">
        <f>IFERROR(VLOOKUP($E122,Base!$B$7:$G$119,5,FALSE),"")</f>
        <v>0.43209999999999998</v>
      </c>
      <c r="L122" s="190"/>
      <c r="M122" s="149"/>
      <c r="N122" s="149"/>
      <c r="O122" s="149"/>
      <c r="R122" s="78" t="s">
        <v>449</v>
      </c>
      <c r="W122" s="170"/>
      <c r="X122" s="171"/>
    </row>
    <row r="123" spans="3:24" x14ac:dyDescent="0.2">
      <c r="C123" s="173" t="str">
        <f t="shared" si="4"/>
        <v>TV Conecta Xview+ + Telefonía + 60 Megas SimetricoResidencial</v>
      </c>
      <c r="D123" s="144">
        <f t="shared" si="6"/>
        <v>103</v>
      </c>
      <c r="E123" s="77" t="str">
        <v>TV Conecta Xview+ + Telefonía + 60 Megas Simetrico</v>
      </c>
      <c r="F123" s="144" t="str">
        <f>IFERROR(VLOOKUP($E123,Base!$B$7:$G$119,2,FALSE),"")</f>
        <v>Residencial</v>
      </c>
      <c r="G123" s="144" t="str">
        <f>IFERROR(VLOOKUP($E123,Base!$B$7:$G$119,3,FALSE),"")</f>
        <v>STAR + Internet fijo + Telefonía fija</v>
      </c>
      <c r="H123" s="61" t="s">
        <v>138</v>
      </c>
      <c r="I123" s="91"/>
      <c r="J123" s="190">
        <f>IFERROR(VLOOKUP($E123,Base!$B$7:$G$119,5,FALSE),"")</f>
        <v>1E-4</v>
      </c>
      <c r="K123" s="190">
        <f>IFERROR(VLOOKUP($E123,Base!$B$7:$G$119,5,FALSE),"")</f>
        <v>1E-4</v>
      </c>
      <c r="L123" s="190"/>
      <c r="M123" s="149"/>
      <c r="N123" s="149"/>
      <c r="O123" s="149"/>
      <c r="R123" s="78" t="s">
        <v>449</v>
      </c>
      <c r="W123" s="170"/>
      <c r="X123" s="171"/>
    </row>
    <row r="124" spans="3:24" x14ac:dyDescent="0.2">
      <c r="C124" s="173" t="str">
        <f t="shared" si="4"/>
        <v>TV Conecta Xview+ Negocio + Telefonía Negocio + 100 Megas NegocioNegocio</v>
      </c>
      <c r="D124" s="144">
        <f t="shared" si="6"/>
        <v>104</v>
      </c>
      <c r="E124" s="77" t="str">
        <v>TV Conecta Xview+ Negocio + Telefonía Negocio + 100 Megas Negocio</v>
      </c>
      <c r="F124" s="144" t="str">
        <f>IFERROR(VLOOKUP($E124,Base!$B$7:$G$119,2,FALSE),"")</f>
        <v>Negocio</v>
      </c>
      <c r="G124" s="144" t="str">
        <f>IFERROR(VLOOKUP($E124,Base!$B$7:$G$119,3,FALSE),"")</f>
        <v>STAR + Internet fijo + Telefonía fija</v>
      </c>
      <c r="H124" s="61" t="s">
        <v>138</v>
      </c>
      <c r="I124" s="91"/>
      <c r="J124" s="190">
        <f>IFERROR(VLOOKUP($E124,Base!$B$7:$G$119,5,FALSE),"")</f>
        <v>9.7999999999999997E-3</v>
      </c>
      <c r="K124" s="190">
        <f>IFERROR(VLOOKUP($E124,Base!$B$7:$G$119,5,FALSE),"")</f>
        <v>9.7999999999999997E-3</v>
      </c>
      <c r="L124" s="190"/>
      <c r="M124" s="149"/>
      <c r="N124" s="149"/>
      <c r="O124" s="149"/>
      <c r="R124" s="78" t="s">
        <v>449</v>
      </c>
      <c r="W124" s="170"/>
      <c r="X124" s="171"/>
    </row>
    <row r="125" spans="3:24" x14ac:dyDescent="0.2">
      <c r="C125" s="173" t="str">
        <f t="shared" si="4"/>
        <v>TV Conecta Xview+ Negocio + Telefonía Negocio + 100 Megas Simetrico NegocioNegocio</v>
      </c>
      <c r="D125" s="144">
        <f t="shared" si="6"/>
        <v>105</v>
      </c>
      <c r="E125" s="77" t="str">
        <v>TV Conecta Xview+ Negocio + Telefonía Negocio + 100 Megas Simetrico Negocio</v>
      </c>
      <c r="F125" s="144" t="str">
        <f>IFERROR(VLOOKUP($E125,Base!$B$7:$G$119,2,FALSE),"")</f>
        <v>Negocio</v>
      </c>
      <c r="G125" s="144" t="str">
        <f>IFERROR(VLOOKUP($E125,Base!$B$7:$G$119,3,FALSE),"")</f>
        <v>STAR + Internet fijo + Telefonía fija</v>
      </c>
      <c r="H125" s="61" t="s">
        <v>138</v>
      </c>
      <c r="I125" s="91"/>
      <c r="J125" s="190">
        <f>IFERROR(VLOOKUP($E125,Base!$B$7:$G$119,5,FALSE),"")</f>
        <v>1E-4</v>
      </c>
      <c r="K125" s="190">
        <f>IFERROR(VLOOKUP($E125,Base!$B$7:$G$119,5,FALSE),"")</f>
        <v>1E-4</v>
      </c>
      <c r="L125" s="190"/>
      <c r="M125" s="149"/>
      <c r="N125" s="149"/>
      <c r="O125" s="149"/>
      <c r="R125" s="78" t="s">
        <v>449</v>
      </c>
      <c r="W125" s="170"/>
      <c r="X125" s="171"/>
    </row>
    <row r="126" spans="3:24" x14ac:dyDescent="0.2">
      <c r="C126" s="173" t="str">
        <f t="shared" si="4"/>
        <v>TV Conecta Xview+ Negocio + Telefonía Negocio + 1000 Megas NegocioNegocio</v>
      </c>
      <c r="D126" s="144">
        <f t="shared" si="6"/>
        <v>106</v>
      </c>
      <c r="E126" s="77" t="str">
        <v>TV Conecta Xview+ Negocio + Telefonía Negocio + 1000 Megas Negocio</v>
      </c>
      <c r="F126" s="144" t="str">
        <f>IFERROR(VLOOKUP($E126,Base!$B$7:$G$119,2,FALSE),"")</f>
        <v>Negocio</v>
      </c>
      <c r="G126" s="144" t="str">
        <f>IFERROR(VLOOKUP($E126,Base!$B$7:$G$119,3,FALSE),"")</f>
        <v>STAR + Internet fijo + Telefonía fija</v>
      </c>
      <c r="H126" s="61" t="s">
        <v>138</v>
      </c>
      <c r="I126" s="91"/>
      <c r="J126" s="190">
        <f>IFERROR(VLOOKUP($E126,Base!$B$7:$G$119,5,FALSE),"")</f>
        <v>1E-4</v>
      </c>
      <c r="K126" s="190">
        <f>IFERROR(VLOOKUP($E126,Base!$B$7:$G$119,5,FALSE),"")</f>
        <v>1E-4</v>
      </c>
      <c r="L126" s="190"/>
      <c r="M126" s="149"/>
      <c r="N126" s="149"/>
      <c r="O126" s="149"/>
      <c r="R126" s="78" t="s">
        <v>449</v>
      </c>
      <c r="W126" s="170"/>
      <c r="X126" s="171"/>
    </row>
    <row r="127" spans="3:24" x14ac:dyDescent="0.2">
      <c r="C127" s="173" t="str">
        <f t="shared" si="4"/>
        <v>TV Conecta Xview+ Negocio + Telefonía Negocio + 250 Megas NegocioNegocio</v>
      </c>
      <c r="D127" s="144">
        <f t="shared" si="6"/>
        <v>107</v>
      </c>
      <c r="E127" s="77" t="str">
        <v>TV Conecta Xview+ Negocio + Telefonía Negocio + 250 Megas Negocio</v>
      </c>
      <c r="F127" s="144" t="str">
        <f>IFERROR(VLOOKUP($E127,Base!$B$7:$G$119,2,FALSE),"")</f>
        <v>Negocio</v>
      </c>
      <c r="G127" s="144" t="str">
        <f>IFERROR(VLOOKUP($E127,Base!$B$7:$G$119,3,FALSE),"")</f>
        <v>STAR + Internet fijo + Telefonía fija</v>
      </c>
      <c r="H127" s="61" t="s">
        <v>138</v>
      </c>
      <c r="I127" s="91"/>
      <c r="J127" s="190">
        <f>IFERROR(VLOOKUP($E127,Base!$B$7:$G$119,5,FALSE),"")</f>
        <v>6.0000000000000001E-3</v>
      </c>
      <c r="K127" s="190">
        <f>IFERROR(VLOOKUP($E127,Base!$B$7:$G$119,5,FALSE),"")</f>
        <v>6.0000000000000001E-3</v>
      </c>
      <c r="L127" s="190"/>
      <c r="M127" s="149"/>
      <c r="N127" s="149"/>
      <c r="O127" s="149"/>
      <c r="R127" s="78" t="s">
        <v>449</v>
      </c>
      <c r="W127" s="170"/>
      <c r="X127" s="171"/>
    </row>
    <row r="128" spans="3:24" x14ac:dyDescent="0.2">
      <c r="C128" s="173" t="str">
        <f t="shared" si="4"/>
        <v>TV Conecta Xview+ Negocio + Telefonía Negocio + 250 Megas Simetrico NegocioNegocio</v>
      </c>
      <c r="D128" s="144">
        <f t="shared" si="6"/>
        <v>108</v>
      </c>
      <c r="E128" s="77" t="str">
        <v>TV Conecta Xview+ Negocio + Telefonía Negocio + 250 Megas Simetrico Negocio</v>
      </c>
      <c r="F128" s="144" t="str">
        <f>IFERROR(VLOOKUP($E128,Base!$B$7:$G$119,2,FALSE),"")</f>
        <v>Negocio</v>
      </c>
      <c r="G128" s="144" t="str">
        <f>IFERROR(VLOOKUP($E128,Base!$B$7:$G$119,3,FALSE),"")</f>
        <v>STAR + Internet fijo + Telefonía fija</v>
      </c>
      <c r="H128" s="61" t="s">
        <v>138</v>
      </c>
      <c r="I128" s="91"/>
      <c r="J128" s="190">
        <f>IFERROR(VLOOKUP($E128,Base!$B$7:$G$119,5,FALSE),"")</f>
        <v>1E-4</v>
      </c>
      <c r="K128" s="190">
        <f>IFERROR(VLOOKUP($E128,Base!$B$7:$G$119,5,FALSE),"")</f>
        <v>1E-4</v>
      </c>
      <c r="L128" s="190"/>
      <c r="M128" s="149"/>
      <c r="N128" s="149"/>
      <c r="O128" s="149"/>
      <c r="R128" s="78" t="s">
        <v>449</v>
      </c>
      <c r="W128" s="170"/>
      <c r="X128" s="171"/>
    </row>
    <row r="129" spans="3:18" x14ac:dyDescent="0.2">
      <c r="C129" s="173" t="str">
        <f t="shared" si="4"/>
        <v>TV Conecta Xview+ Negocio + Telefonía Negocio + 500 Megas NegocioNegocio</v>
      </c>
      <c r="D129" s="144">
        <f t="shared" si="6"/>
        <v>109</v>
      </c>
      <c r="E129" s="77" t="str">
        <v>TV Conecta Xview+ Negocio + Telefonía Negocio + 500 Megas Negocio</v>
      </c>
      <c r="F129" s="144" t="str">
        <f>IFERROR(VLOOKUP($E129,Base!$B$7:$G$119,2,FALSE),"")</f>
        <v>Negocio</v>
      </c>
      <c r="G129" s="144" t="str">
        <f>IFERROR(VLOOKUP($E129,Base!$B$7:$G$119,3,FALSE),"")</f>
        <v>STAR + Internet fijo + Telefonía fija</v>
      </c>
      <c r="H129" s="61"/>
      <c r="I129" s="91"/>
      <c r="J129" s="190">
        <f>IFERROR(VLOOKUP($E129,Base!$B$7:$G$119,5,FALSE),"")</f>
        <v>2.9999999999999997E-4</v>
      </c>
      <c r="K129" s="190">
        <f>IFERROR(VLOOKUP($E129,Base!$B$7:$G$119,5,FALSE),"")</f>
        <v>2.9999999999999997E-4</v>
      </c>
      <c r="L129" s="190"/>
      <c r="M129" s="149"/>
      <c r="N129" s="149"/>
      <c r="O129" s="149"/>
      <c r="R129" s="78" t="s">
        <v>449</v>
      </c>
    </row>
    <row r="130" spans="3:18" x14ac:dyDescent="0.2">
      <c r="C130" s="173" t="str">
        <f t="shared" si="4"/>
        <v>TV Conecta Xview+ Negocio + Telefonía Negocio + 500 Megas Simetrico NegocioNegocio</v>
      </c>
      <c r="D130" s="144">
        <f t="shared" si="6"/>
        <v>110</v>
      </c>
      <c r="E130" s="77" t="str">
        <v>TV Conecta Xview+ Negocio + Telefonía Negocio + 500 Megas Simetrico Negocio</v>
      </c>
      <c r="F130" s="144" t="str">
        <f>IFERROR(VLOOKUP($E130,Base!$B$7:$G$119,2,FALSE),"")</f>
        <v>Negocio</v>
      </c>
      <c r="G130" s="144" t="str">
        <f>IFERROR(VLOOKUP($E130,Base!$B$7:$G$119,3,FALSE),"")</f>
        <v>STAR + Internet fijo + Telefonía fija</v>
      </c>
      <c r="H130" s="61"/>
      <c r="I130" s="91"/>
      <c r="J130" s="190">
        <f>IFERROR(VLOOKUP($E130,Base!$B$7:$G$119,5,FALSE),"")</f>
        <v>1E-4</v>
      </c>
      <c r="K130" s="190">
        <f>IFERROR(VLOOKUP($E130,Base!$B$7:$G$119,5,FALSE),"")</f>
        <v>1E-4</v>
      </c>
      <c r="L130" s="190"/>
      <c r="M130" s="149"/>
      <c r="N130" s="149"/>
      <c r="O130" s="149"/>
      <c r="R130" s="78" t="s">
        <v>449</v>
      </c>
    </row>
    <row r="131" spans="3:18" x14ac:dyDescent="0.2">
      <c r="C131" s="173" t="str">
        <f t="shared" si="4"/>
        <v>TV Conecta Xview+ Negocio + Telefonía Negocio + 60 Megas NegocioNegocio</v>
      </c>
      <c r="D131" s="144">
        <f t="shared" si="6"/>
        <v>111</v>
      </c>
      <c r="E131" s="77" t="str">
        <v>TV Conecta Xview+ Negocio + Telefonía Negocio + 60 Megas Negocio</v>
      </c>
      <c r="F131" s="144" t="str">
        <f>IFERROR(VLOOKUP($E131,Base!$B$7:$G$119,2,FALSE),"")</f>
        <v>Negocio</v>
      </c>
      <c r="G131" s="144" t="str">
        <f>IFERROR(VLOOKUP($E131,Base!$B$7:$G$119,3,FALSE),"")</f>
        <v>STAR + Internet fijo + Telefonía fija</v>
      </c>
      <c r="H131" s="61"/>
      <c r="I131" s="91"/>
      <c r="J131" s="190">
        <f>IFERROR(VLOOKUP($E131,Base!$B$7:$G$119,5,FALSE),"")</f>
        <v>1.9099999999999999E-2</v>
      </c>
      <c r="K131" s="190">
        <f>IFERROR(VLOOKUP($E131,Base!$B$7:$G$119,5,FALSE),"")</f>
        <v>1.9099999999999999E-2</v>
      </c>
      <c r="L131" s="190"/>
      <c r="M131" s="149"/>
      <c r="N131" s="149"/>
      <c r="O131" s="149"/>
      <c r="R131" s="78" t="s">
        <v>449</v>
      </c>
    </row>
    <row r="132" spans="3:18" x14ac:dyDescent="0.2">
      <c r="C132" s="173" t="str">
        <f t="shared" si="4"/>
        <v>TV Conecta Xview+ Negocio + Telefonía Negocio + 60 Megas Simetrico NegocioNegocio</v>
      </c>
      <c r="D132" s="144">
        <f t="shared" si="6"/>
        <v>112</v>
      </c>
      <c r="E132" s="77" t="str">
        <v>TV Conecta Xview+ Negocio + Telefonía Negocio + 60 Megas Simetrico Negocio</v>
      </c>
      <c r="F132" s="144" t="str">
        <f>IFERROR(VLOOKUP($E132,Base!$B$7:$G$119,2,FALSE),"")</f>
        <v>Negocio</v>
      </c>
      <c r="G132" s="144" t="str">
        <f>IFERROR(VLOOKUP($E132,Base!$B$7:$G$119,3,FALSE),"")</f>
        <v>STAR + Internet fijo + Telefonía fija</v>
      </c>
      <c r="H132" s="61"/>
      <c r="I132" s="91"/>
      <c r="J132" s="190">
        <f>IFERROR(VLOOKUP($E132,Base!$B$7:$G$119,5,FALSE),"")</f>
        <v>1E-4</v>
      </c>
      <c r="K132" s="190">
        <f>IFERROR(VLOOKUP($E132,Base!$B$7:$G$119,5,FALSE),"")</f>
        <v>1E-4</v>
      </c>
      <c r="L132" s="190"/>
      <c r="M132" s="149"/>
      <c r="N132" s="149"/>
      <c r="O132" s="149"/>
      <c r="R132" s="78" t="s">
        <v>449</v>
      </c>
    </row>
    <row r="133" spans="3:18" ht="12.75" thickBot="1" x14ac:dyDescent="0.25">
      <c r="C133" s="173" t="str">
        <f t="shared" si="4"/>
        <v>Full Connected HomeResidencial</v>
      </c>
      <c r="D133" s="144">
        <f t="shared" si="6"/>
        <v>113</v>
      </c>
      <c r="E133" s="77" t="str">
        <v>Full Connected Home</v>
      </c>
      <c r="F133" s="144" t="str">
        <f>IFERROR(VLOOKUP($E133,Base!$B$7:$G$119,2,FALSE),"")</f>
        <v>Residencial</v>
      </c>
      <c r="G133" s="144" t="str">
        <f>IFERROR(VLOOKUP($E133,Base!$B$7:$G$119,3,FALSE),"")</f>
        <v>STAR + Internet fijo + Telefonía fija</v>
      </c>
      <c r="H133" s="61"/>
      <c r="I133" s="91"/>
      <c r="J133" s="190">
        <f>IFERROR(VLOOKUP($E133,Base!$B$7:$G$119,5,FALSE),"")</f>
        <v>8.9999999999999993E-3</v>
      </c>
      <c r="K133" s="190">
        <f>IFERROR(VLOOKUP($E133,Base!$B$7:$G$119,5,FALSE),"")</f>
        <v>8.9999999999999993E-3</v>
      </c>
      <c r="L133" s="190"/>
      <c r="M133" s="149"/>
      <c r="N133" s="149"/>
      <c r="O133" s="149"/>
      <c r="R133" s="78" t="s">
        <v>449</v>
      </c>
    </row>
    <row r="134" spans="3:18" hidden="1" outlineLevel="1" x14ac:dyDescent="0.2">
      <c r="D134" s="144">
        <f t="shared" si="6"/>
        <v>114</v>
      </c>
      <c r="E134" s="77"/>
      <c r="F134" s="72"/>
      <c r="G134" s="72"/>
      <c r="H134" s="61"/>
      <c r="I134" s="91"/>
      <c r="J134" s="149"/>
      <c r="K134" s="189" t="str">
        <f>IFERROR(VLOOKUP($E134,Base!$B$7:$G$119,5,FALSE),"")</f>
        <v/>
      </c>
      <c r="L134" s="149"/>
      <c r="M134" s="149"/>
      <c r="N134" s="149"/>
      <c r="O134" s="149"/>
      <c r="R134" s="78"/>
    </row>
    <row r="135" spans="3:18" hidden="1" outlineLevel="1" x14ac:dyDescent="0.2">
      <c r="D135" s="144">
        <f t="shared" si="6"/>
        <v>115</v>
      </c>
      <c r="E135" s="77"/>
      <c r="F135" s="72"/>
      <c r="G135" s="72"/>
      <c r="H135" s="61"/>
      <c r="I135" s="91"/>
      <c r="J135" s="91"/>
      <c r="K135" s="91"/>
      <c r="L135" s="91"/>
      <c r="M135" s="91"/>
      <c r="N135" s="91"/>
      <c r="O135" s="149"/>
      <c r="R135" s="78"/>
    </row>
    <row r="136" spans="3:18" hidden="1" outlineLevel="1" x14ac:dyDescent="0.2">
      <c r="D136" s="144">
        <f t="shared" si="6"/>
        <v>116</v>
      </c>
      <c r="E136" s="77"/>
      <c r="F136" s="72"/>
      <c r="G136" s="72"/>
      <c r="H136" s="61"/>
      <c r="I136" s="91"/>
      <c r="J136" s="91"/>
      <c r="K136" s="91"/>
      <c r="L136" s="91"/>
      <c r="M136" s="91"/>
      <c r="N136" s="91"/>
      <c r="O136" s="149"/>
      <c r="R136" s="78"/>
    </row>
    <row r="137" spans="3:18" hidden="1" outlineLevel="1" x14ac:dyDescent="0.2">
      <c r="D137" s="144">
        <f t="shared" si="6"/>
        <v>117</v>
      </c>
      <c r="E137" s="77"/>
      <c r="F137" s="72"/>
      <c r="G137" s="72"/>
      <c r="H137" s="61"/>
      <c r="I137" s="91"/>
      <c r="J137" s="91"/>
      <c r="K137" s="91"/>
      <c r="L137" s="91"/>
      <c r="M137" s="91"/>
      <c r="N137" s="91"/>
      <c r="O137" s="149"/>
      <c r="R137" s="78"/>
    </row>
    <row r="138" spans="3:18" hidden="1" outlineLevel="1" x14ac:dyDescent="0.2">
      <c r="D138" s="144">
        <f t="shared" si="6"/>
        <v>118</v>
      </c>
      <c r="E138" s="77"/>
      <c r="F138" s="72"/>
      <c r="G138" s="72"/>
      <c r="H138" s="61"/>
      <c r="I138" s="91"/>
      <c r="J138" s="91"/>
      <c r="K138" s="91"/>
      <c r="L138" s="91"/>
      <c r="M138" s="91"/>
      <c r="N138" s="91"/>
      <c r="O138" s="149"/>
      <c r="R138" s="78"/>
    </row>
    <row r="139" spans="3:18" hidden="1" outlineLevel="1" x14ac:dyDescent="0.2">
      <c r="D139" s="144">
        <f t="shared" si="6"/>
        <v>119</v>
      </c>
      <c r="E139" s="77"/>
      <c r="F139" s="72"/>
      <c r="G139" s="72"/>
      <c r="H139" s="61"/>
      <c r="I139" s="91"/>
      <c r="J139" s="91"/>
      <c r="K139" s="91"/>
      <c r="L139" s="91"/>
      <c r="M139" s="91"/>
      <c r="N139" s="91"/>
      <c r="O139" s="149"/>
      <c r="R139" s="78"/>
    </row>
    <row r="140" spans="3:18" hidden="1" outlineLevel="1" x14ac:dyDescent="0.2">
      <c r="D140" s="144">
        <f t="shared" si="6"/>
        <v>120</v>
      </c>
      <c r="E140" s="77"/>
      <c r="F140" s="72"/>
      <c r="G140" s="72"/>
      <c r="H140" s="61"/>
      <c r="I140" s="91"/>
      <c r="J140" s="91"/>
      <c r="K140" s="91"/>
      <c r="L140" s="91"/>
      <c r="M140" s="91"/>
      <c r="N140" s="91"/>
      <c r="O140" s="149"/>
      <c r="R140" s="78"/>
    </row>
    <row r="141" spans="3:18" ht="12.75" hidden="1" outlineLevel="1" thickBot="1" x14ac:dyDescent="0.25">
      <c r="D141" s="144">
        <f t="shared" si="6"/>
        <v>121</v>
      </c>
      <c r="E141" s="77"/>
      <c r="F141" s="72"/>
      <c r="G141" s="72"/>
      <c r="H141" s="61"/>
      <c r="I141" s="91"/>
      <c r="J141" s="91"/>
      <c r="K141" s="91"/>
      <c r="L141" s="91"/>
      <c r="M141" s="91"/>
      <c r="N141" s="91"/>
      <c r="O141" s="149"/>
      <c r="R141" s="78"/>
    </row>
    <row r="142" spans="3:18" collapsed="1" x14ac:dyDescent="0.2">
      <c r="E142" s="82"/>
      <c r="F142" s="38"/>
      <c r="G142" s="38"/>
      <c r="H142" s="38"/>
      <c r="I142" s="38"/>
      <c r="J142" s="38"/>
      <c r="K142" s="38"/>
      <c r="L142" s="38"/>
      <c r="M142" s="38"/>
      <c r="N142" s="38"/>
      <c r="O142" s="38"/>
      <c r="P142" s="165" t="s">
        <v>460</v>
      </c>
      <c r="Q142" s="38"/>
      <c r="R142" s="38"/>
    </row>
    <row r="145" spans="3:18" x14ac:dyDescent="0.2">
      <c r="C145" s="78" t="s">
        <v>382</v>
      </c>
      <c r="D145" s="78"/>
    </row>
    <row r="146" spans="3:18" x14ac:dyDescent="0.2">
      <c r="C146" s="78"/>
      <c r="D146" s="78"/>
    </row>
    <row r="147" spans="3:18" x14ac:dyDescent="0.2">
      <c r="E147" s="1" t="s">
        <v>140</v>
      </c>
      <c r="F147" s="1" t="s">
        <v>142</v>
      </c>
      <c r="G147" s="1" t="s">
        <v>141</v>
      </c>
      <c r="H147" s="1" t="s">
        <v>135</v>
      </c>
      <c r="I147" s="1">
        <f t="array" ref="I147:O147">TRANSPOSE(Years)</f>
        <v>2021</v>
      </c>
      <c r="J147" s="1">
        <v>2022</v>
      </c>
      <c r="K147" s="1">
        <v>2023</v>
      </c>
      <c r="L147" s="1">
        <v>2024</v>
      </c>
      <c r="M147" s="1">
        <v>0</v>
      </c>
      <c r="N147" s="1">
        <v>0</v>
      </c>
      <c r="O147" s="172" t="e">
        <v>#N/A</v>
      </c>
      <c r="P147" s="1" t="s">
        <v>136</v>
      </c>
      <c r="Q147" s="1"/>
      <c r="R147" s="1" t="s">
        <v>137</v>
      </c>
    </row>
    <row r="148" spans="3:18" x14ac:dyDescent="0.2">
      <c r="I148" s="85">
        <f>SUM(I149:I198)</f>
        <v>0</v>
      </c>
      <c r="J148" s="85">
        <f>SUM(J149:J261)</f>
        <v>618713.77780000039</v>
      </c>
      <c r="K148" s="85">
        <f>SUM(K149:K274)</f>
        <v>597271.84439999983</v>
      </c>
      <c r="L148" s="85">
        <f>SUM(L149:L274)</f>
        <v>0</v>
      </c>
      <c r="M148" s="85">
        <f>SUM(M149:M274)</f>
        <v>0</v>
      </c>
      <c r="N148" s="85">
        <f>SUM(N149:N274)</f>
        <v>0</v>
      </c>
      <c r="O148" s="85"/>
    </row>
    <row r="149" spans="3:18" x14ac:dyDescent="0.2">
      <c r="C149" s="173" t="str">
        <f>E149&amp;F149</f>
        <v>TV Básico PlusResidencial</v>
      </c>
      <c r="D149" s="73">
        <v>1</v>
      </c>
      <c r="E149" s="77" t="str">
        <f t="array" ref="E149:E261">vector.star.plans.names</f>
        <v>TV Básico Plus</v>
      </c>
      <c r="F149" s="77" t="str">
        <f>F21</f>
        <v>Residencial</v>
      </c>
      <c r="G149" s="77" t="str">
        <f>G21</f>
        <v>Solo STAR</v>
      </c>
      <c r="H149" s="61" t="s">
        <v>144</v>
      </c>
      <c r="I149" s="84"/>
      <c r="J149" s="150">
        <f t="shared" ref="J149" si="7">IFERROR(J$10*J21,"")</f>
        <v>765.88069999999993</v>
      </c>
      <c r="K149" s="150">
        <f t="shared" ref="K149" si="8">IFERROR(K$10*K21,"")</f>
        <v>739.33859999999993</v>
      </c>
      <c r="L149" s="150"/>
      <c r="M149" s="150"/>
      <c r="N149" s="150"/>
      <c r="O149" s="150"/>
      <c r="R149" s="78"/>
    </row>
    <row r="150" spans="3:18" x14ac:dyDescent="0.2">
      <c r="C150" s="173" t="str">
        <f t="shared" ref="C150:C213" si="9">E150&amp;F150</f>
        <v>TV Básico Plus NegocioNegocio</v>
      </c>
      <c r="D150" s="72">
        <f>1+D149</f>
        <v>2</v>
      </c>
      <c r="E150" s="77" t="str">
        <v>TV Básico Plus Negocio</v>
      </c>
      <c r="F150" s="77" t="str">
        <f t="shared" ref="F150:G213" si="10">F22</f>
        <v>Negocio</v>
      </c>
      <c r="G150" s="77" t="str">
        <f t="shared" ref="G150:G177" si="11">G22</f>
        <v>Solo STAR</v>
      </c>
      <c r="H150" s="61" t="s">
        <v>144</v>
      </c>
      <c r="I150" s="84"/>
      <c r="J150" s="150">
        <f t="shared" ref="J150" si="12">IFERROR(J$10*J22,"")</f>
        <v>58.913900000000005</v>
      </c>
      <c r="K150" s="150">
        <f t="shared" ref="K150" si="13">IFERROR(K$10*K22,"")</f>
        <v>56.872199999999999</v>
      </c>
      <c r="L150" s="150"/>
      <c r="M150" s="150"/>
      <c r="N150" s="150"/>
      <c r="O150" s="150"/>
      <c r="R150" s="78"/>
    </row>
    <row r="151" spans="3:18" x14ac:dyDescent="0.2">
      <c r="C151" s="173" t="str">
        <f t="shared" si="9"/>
        <v>TV Básico Plus + 100 MegasResidencial</v>
      </c>
      <c r="D151" s="72">
        <f t="shared" ref="D151:D214" si="14">1+D150</f>
        <v>3</v>
      </c>
      <c r="E151" s="77" t="str">
        <v>TV Básico Plus + 100 Megas</v>
      </c>
      <c r="F151" s="77" t="str">
        <f t="shared" si="10"/>
        <v>Residencial</v>
      </c>
      <c r="G151" s="77" t="str">
        <f t="shared" si="11"/>
        <v>STAR + Internet fijo</v>
      </c>
      <c r="H151" s="61" t="s">
        <v>144</v>
      </c>
      <c r="I151" s="84"/>
      <c r="J151" s="150">
        <f t="shared" ref="J151" si="15">IFERROR(J$10*J23,"")</f>
        <v>294.56950000000001</v>
      </c>
      <c r="K151" s="150">
        <f t="shared" ref="K151" si="16">IFERROR(K$10*K23,"")</f>
        <v>284.36099999999999</v>
      </c>
      <c r="L151" s="150"/>
      <c r="M151" s="150"/>
      <c r="N151" s="150"/>
      <c r="O151" s="150"/>
      <c r="R151" s="78"/>
    </row>
    <row r="152" spans="3:18" x14ac:dyDescent="0.2">
      <c r="C152" s="173" t="str">
        <f t="shared" si="9"/>
        <v>TV Básico Plus + 100 Megas SimetricoResidencial</v>
      </c>
      <c r="D152" s="72">
        <f t="shared" si="14"/>
        <v>4</v>
      </c>
      <c r="E152" s="77" t="str">
        <v>TV Básico Plus + 100 Megas Simetrico</v>
      </c>
      <c r="F152" s="77" t="str">
        <f t="shared" si="10"/>
        <v>Residencial</v>
      </c>
      <c r="G152" s="77" t="str">
        <f t="shared" si="11"/>
        <v>STAR + Internet fijo</v>
      </c>
      <c r="H152" s="61" t="s">
        <v>144</v>
      </c>
      <c r="I152" s="84"/>
      <c r="J152" s="150">
        <f t="shared" ref="J152" si="17">IFERROR(J$10*J24,"")</f>
        <v>58.913900000000005</v>
      </c>
      <c r="K152" s="150">
        <f t="shared" ref="K152" si="18">IFERROR(K$10*K24,"")</f>
        <v>56.872199999999999</v>
      </c>
      <c r="L152" s="150"/>
      <c r="M152" s="150"/>
      <c r="N152" s="150"/>
      <c r="O152" s="150"/>
      <c r="R152" s="78"/>
    </row>
    <row r="153" spans="3:18" x14ac:dyDescent="0.2">
      <c r="C153" s="173" t="str">
        <f t="shared" si="9"/>
        <v>TV Básico Plus + 1000 MegasResidencial</v>
      </c>
      <c r="D153" s="72">
        <f t="shared" si="14"/>
        <v>5</v>
      </c>
      <c r="E153" s="77" t="str">
        <v>TV Básico Plus + 1000 Megas</v>
      </c>
      <c r="F153" s="77" t="str">
        <f t="shared" si="10"/>
        <v>Residencial</v>
      </c>
      <c r="G153" s="77" t="str">
        <f t="shared" si="11"/>
        <v>STAR + Internet fijo</v>
      </c>
      <c r="H153" s="61" t="s">
        <v>144</v>
      </c>
      <c r="I153" s="84"/>
      <c r="J153" s="150">
        <f t="shared" ref="J153" si="19">IFERROR(J$10*J25,"")</f>
        <v>58.913900000000005</v>
      </c>
      <c r="K153" s="150">
        <f t="shared" ref="K153" si="20">IFERROR(K$10*K25,"")</f>
        <v>56.872199999999999</v>
      </c>
      <c r="L153" s="150"/>
      <c r="M153" s="150"/>
      <c r="N153" s="150"/>
      <c r="O153" s="150"/>
      <c r="R153" s="78"/>
    </row>
    <row r="154" spans="3:18" x14ac:dyDescent="0.2">
      <c r="C154" s="173" t="str">
        <f t="shared" si="9"/>
        <v>TV Básico Plus + 250 MegasResidencial</v>
      </c>
      <c r="D154" s="72">
        <f t="shared" si="14"/>
        <v>6</v>
      </c>
      <c r="E154" s="77" t="str">
        <v>TV Básico Plus + 250 Megas</v>
      </c>
      <c r="F154" s="77" t="str">
        <f t="shared" si="10"/>
        <v>Residencial</v>
      </c>
      <c r="G154" s="77" t="str">
        <f t="shared" si="11"/>
        <v>STAR + Internet fijo</v>
      </c>
      <c r="H154" s="61" t="s">
        <v>144</v>
      </c>
      <c r="I154" s="84"/>
      <c r="J154" s="150">
        <f t="shared" ref="J154" si="21">IFERROR(J$10*J26,"")</f>
        <v>2651.1254999999996</v>
      </c>
      <c r="K154" s="150">
        <f t="shared" ref="K154" si="22">IFERROR(K$10*K26,"")</f>
        <v>2559.2489999999998</v>
      </c>
      <c r="L154" s="150"/>
      <c r="M154" s="150"/>
      <c r="N154" s="150"/>
      <c r="O154" s="150"/>
      <c r="R154" s="78"/>
    </row>
    <row r="155" spans="3:18" x14ac:dyDescent="0.2">
      <c r="C155" s="173" t="str">
        <f t="shared" si="9"/>
        <v>TV Básico Plus + 250 Megas SimetricoResidencial</v>
      </c>
      <c r="D155" s="72">
        <f t="shared" si="14"/>
        <v>7</v>
      </c>
      <c r="E155" s="77" t="str">
        <v>TV Básico Plus + 250 Megas Simetrico</v>
      </c>
      <c r="F155" s="77" t="str">
        <f t="shared" si="10"/>
        <v>Residencial</v>
      </c>
      <c r="G155" s="77" t="str">
        <f t="shared" si="11"/>
        <v>STAR + Internet fijo</v>
      </c>
      <c r="H155" s="61" t="s">
        <v>144</v>
      </c>
      <c r="I155" s="84"/>
      <c r="J155" s="150">
        <f t="shared" ref="J155" si="23">IFERROR(J$10*J27,"")</f>
        <v>0</v>
      </c>
      <c r="K155" s="150">
        <f t="shared" ref="K155" si="24">IFERROR(K$10*K27,"")</f>
        <v>0</v>
      </c>
      <c r="L155" s="150"/>
      <c r="M155" s="150"/>
      <c r="N155" s="150"/>
      <c r="O155" s="150"/>
      <c r="R155" s="78"/>
    </row>
    <row r="156" spans="3:18" x14ac:dyDescent="0.2">
      <c r="C156" s="173" t="str">
        <f t="shared" si="9"/>
        <v>TV Básico Plus + 500 MegasResidencial</v>
      </c>
      <c r="D156" s="72">
        <f t="shared" si="14"/>
        <v>8</v>
      </c>
      <c r="E156" s="77" t="str">
        <v>TV Básico Plus + 500 Megas</v>
      </c>
      <c r="F156" s="77" t="str">
        <f t="shared" si="10"/>
        <v>Residencial</v>
      </c>
      <c r="G156" s="77" t="str">
        <f t="shared" si="11"/>
        <v>STAR + Internet fijo</v>
      </c>
      <c r="H156" s="61" t="s">
        <v>144</v>
      </c>
      <c r="I156" s="84"/>
      <c r="J156" s="150">
        <f t="shared" ref="J156" si="25">IFERROR(J$10*J28,"")</f>
        <v>2179.8143</v>
      </c>
      <c r="K156" s="150">
        <f t="shared" ref="K156" si="26">IFERROR(K$10*K28,"")</f>
        <v>2104.2714000000001</v>
      </c>
      <c r="L156" s="150"/>
      <c r="M156" s="150"/>
      <c r="N156" s="150"/>
      <c r="O156" s="150"/>
      <c r="R156" s="78"/>
    </row>
    <row r="157" spans="3:18" x14ac:dyDescent="0.2">
      <c r="C157" s="173" t="str">
        <f t="shared" si="9"/>
        <v>TV Básico Plus + 500 Megas SimetricoResidencial</v>
      </c>
      <c r="D157" s="72">
        <f t="shared" si="14"/>
        <v>9</v>
      </c>
      <c r="E157" s="77" t="str">
        <v>TV Básico Plus + 500 Megas Simetrico</v>
      </c>
      <c r="F157" s="77" t="str">
        <f t="shared" si="10"/>
        <v>Residencial</v>
      </c>
      <c r="G157" s="77" t="str">
        <f t="shared" si="11"/>
        <v>STAR + Internet fijo</v>
      </c>
      <c r="H157" s="61" t="s">
        <v>144</v>
      </c>
      <c r="I157" s="84"/>
      <c r="J157" s="150">
        <f t="shared" ref="J157" si="27">IFERROR(J$10*J29,"")</f>
        <v>0</v>
      </c>
      <c r="K157" s="150">
        <f t="shared" ref="K157" si="28">IFERROR(K$10*K29,"")</f>
        <v>0</v>
      </c>
      <c r="L157" s="150"/>
      <c r="M157" s="150"/>
      <c r="N157" s="150"/>
      <c r="O157" s="150"/>
      <c r="R157" s="78"/>
    </row>
    <row r="158" spans="3:18" x14ac:dyDescent="0.2">
      <c r="C158" s="173" t="str">
        <f t="shared" si="9"/>
        <v>TV Básico Plus + 60 MegasResidencial</v>
      </c>
      <c r="D158" s="72">
        <f t="shared" si="14"/>
        <v>10</v>
      </c>
      <c r="E158" s="77" t="str">
        <v>TV Básico Plus + 60 Megas</v>
      </c>
      <c r="F158" s="77" t="str">
        <f t="shared" si="10"/>
        <v>Residencial</v>
      </c>
      <c r="G158" s="77" t="str">
        <f t="shared" si="11"/>
        <v>STAR + Internet fijo</v>
      </c>
      <c r="H158" s="61" t="s">
        <v>144</v>
      </c>
      <c r="I158" s="84"/>
      <c r="J158" s="150">
        <f t="shared" ref="J158" si="29">IFERROR(J$10*J30,"")</f>
        <v>7540.9792000000007</v>
      </c>
      <c r="K158" s="150">
        <f t="shared" ref="K158" si="30">IFERROR(K$10*K30,"")</f>
        <v>7279.6415999999999</v>
      </c>
      <c r="L158" s="150"/>
      <c r="M158" s="150"/>
      <c r="N158" s="150"/>
      <c r="O158" s="150"/>
      <c r="R158" s="78"/>
    </row>
    <row r="159" spans="3:18" x14ac:dyDescent="0.2">
      <c r="C159" s="173" t="str">
        <f t="shared" si="9"/>
        <v>TV Básico Plus + 60 Megas SimetricoResidencial</v>
      </c>
      <c r="D159" s="72">
        <f t="shared" si="14"/>
        <v>11</v>
      </c>
      <c r="E159" s="77" t="str">
        <v>TV Básico Plus + 60 Megas Simetrico</v>
      </c>
      <c r="F159" s="77" t="str">
        <f t="shared" si="10"/>
        <v>Residencial</v>
      </c>
      <c r="G159" s="77" t="str">
        <f t="shared" si="11"/>
        <v>STAR + Internet fijo</v>
      </c>
      <c r="H159" s="61" t="s">
        <v>144</v>
      </c>
      <c r="I159" s="84"/>
      <c r="J159" s="150">
        <f t="shared" ref="J159" si="31">IFERROR(J$10*J31,"")</f>
        <v>0</v>
      </c>
      <c r="K159" s="150">
        <f t="shared" ref="K159" si="32">IFERROR(K$10*K31,"")</f>
        <v>0</v>
      </c>
      <c r="L159" s="150"/>
      <c r="M159" s="150"/>
      <c r="N159" s="150"/>
      <c r="O159" s="150"/>
      <c r="R159" s="78"/>
    </row>
    <row r="160" spans="3:18" x14ac:dyDescent="0.2">
      <c r="C160" s="173" t="str">
        <f t="shared" si="9"/>
        <v>TV Básico Plus + HD + Telefonía + 100 MegasResidencial</v>
      </c>
      <c r="D160" s="72">
        <f t="shared" si="14"/>
        <v>12</v>
      </c>
      <c r="E160" s="77" t="str">
        <v>TV Básico Plus + HD + Telefonía + 100 Megas</v>
      </c>
      <c r="F160" s="77" t="str">
        <f t="shared" si="10"/>
        <v>Residencial</v>
      </c>
      <c r="G160" s="77" t="str">
        <f t="shared" si="11"/>
        <v>STAR + Internet fijo + Telefonía fija</v>
      </c>
      <c r="H160" s="61" t="s">
        <v>144</v>
      </c>
      <c r="I160" s="84"/>
      <c r="J160" s="150">
        <f t="shared" ref="J160" si="33">IFERROR(J$10*J32,"")</f>
        <v>0</v>
      </c>
      <c r="K160" s="150">
        <f t="shared" ref="K160" si="34">IFERROR(K$10*K32,"")</f>
        <v>0</v>
      </c>
      <c r="L160" s="150"/>
      <c r="M160" s="150"/>
      <c r="N160" s="150"/>
      <c r="O160" s="150"/>
      <c r="R160" s="78"/>
    </row>
    <row r="161" spans="3:18" x14ac:dyDescent="0.2">
      <c r="C161" s="173" t="str">
        <f t="shared" si="9"/>
        <v>TV Básico Plus + HD + Telefonía + 100 Megas SimetricoResidencial</v>
      </c>
      <c r="D161" s="72">
        <f t="shared" si="14"/>
        <v>13</v>
      </c>
      <c r="E161" s="77" t="str">
        <v>TV Básico Plus + HD + Telefonía + 100 Megas Simetrico</v>
      </c>
      <c r="F161" s="77" t="str">
        <f t="shared" si="10"/>
        <v>Residencial</v>
      </c>
      <c r="G161" s="77" t="str">
        <f t="shared" si="11"/>
        <v>STAR + Internet fijo + Telefonía fija</v>
      </c>
      <c r="H161" s="61" t="s">
        <v>144</v>
      </c>
      <c r="I161" s="84"/>
      <c r="J161" s="150">
        <f t="shared" ref="J161" si="35">IFERROR(J$10*J33,"")</f>
        <v>0</v>
      </c>
      <c r="K161" s="150">
        <f t="shared" ref="K161" si="36">IFERROR(K$10*K33,"")</f>
        <v>0</v>
      </c>
      <c r="L161" s="150"/>
      <c r="M161" s="150"/>
      <c r="N161" s="150"/>
      <c r="O161" s="150"/>
      <c r="R161" s="78"/>
    </row>
    <row r="162" spans="3:18" x14ac:dyDescent="0.2">
      <c r="C162" s="173" t="str">
        <f t="shared" si="9"/>
        <v>TV Básico Plus + HD + Telefonía + 1000 MegasResidencial</v>
      </c>
      <c r="D162" s="72">
        <f t="shared" si="14"/>
        <v>14</v>
      </c>
      <c r="E162" s="77" t="str">
        <v>TV Básico Plus + HD + Telefonía + 1000 Megas</v>
      </c>
      <c r="F162" s="77" t="str">
        <f t="shared" si="10"/>
        <v>Residencial</v>
      </c>
      <c r="G162" s="77" t="str">
        <f t="shared" si="11"/>
        <v>STAR + Internet fijo + Telefonía fija</v>
      </c>
      <c r="H162" s="61" t="s">
        <v>144</v>
      </c>
      <c r="I162" s="84"/>
      <c r="J162" s="150">
        <f t="shared" ref="J162" si="37">IFERROR(J$10*J34,"")</f>
        <v>0</v>
      </c>
      <c r="K162" s="150">
        <f t="shared" ref="K162" si="38">IFERROR(K$10*K34,"")</f>
        <v>0</v>
      </c>
      <c r="L162" s="150"/>
      <c r="M162" s="150"/>
      <c r="N162" s="150"/>
      <c r="O162" s="150"/>
      <c r="R162" s="78"/>
    </row>
    <row r="163" spans="3:18" x14ac:dyDescent="0.2">
      <c r="C163" s="173" t="str">
        <f t="shared" si="9"/>
        <v>TV Básico Plus + HD + Telefonía + 250 MegasResidencial</v>
      </c>
      <c r="D163" s="72">
        <f t="shared" si="14"/>
        <v>15</v>
      </c>
      <c r="E163" s="77" t="str">
        <v>TV Básico Plus + HD + Telefonía + 250 Megas</v>
      </c>
      <c r="F163" s="77" t="str">
        <f t="shared" si="10"/>
        <v>Residencial</v>
      </c>
      <c r="G163" s="77" t="str">
        <f t="shared" si="11"/>
        <v>STAR + Internet fijo + Telefonía fija</v>
      </c>
      <c r="H163" s="61" t="s">
        <v>144</v>
      </c>
      <c r="I163" s="84"/>
      <c r="J163" s="150">
        <f t="shared" ref="J163" si="39">IFERROR(J$10*J35,"")</f>
        <v>0</v>
      </c>
      <c r="K163" s="150">
        <f t="shared" ref="K163" si="40">IFERROR(K$10*K35,"")</f>
        <v>0</v>
      </c>
      <c r="L163" s="150"/>
      <c r="M163" s="150"/>
      <c r="N163" s="150"/>
      <c r="O163" s="150"/>
      <c r="R163" s="78"/>
    </row>
    <row r="164" spans="3:18" x14ac:dyDescent="0.2">
      <c r="C164" s="173" t="str">
        <f t="shared" si="9"/>
        <v>TV Básico Plus + HD + Telefonía + 250 Megas SimetricoResidencial</v>
      </c>
      <c r="D164" s="72">
        <f t="shared" si="14"/>
        <v>16</v>
      </c>
      <c r="E164" s="77" t="str">
        <v>TV Básico Plus + HD + Telefonía + 250 Megas Simetrico</v>
      </c>
      <c r="F164" s="77" t="str">
        <f t="shared" si="10"/>
        <v>Residencial</v>
      </c>
      <c r="G164" s="77" t="str">
        <f t="shared" si="11"/>
        <v>STAR + Internet fijo + Telefonía fija</v>
      </c>
      <c r="H164" s="61" t="s">
        <v>144</v>
      </c>
      <c r="I164" s="84"/>
      <c r="J164" s="150">
        <f t="shared" ref="J164" si="41">IFERROR(J$10*J36,"")</f>
        <v>0</v>
      </c>
      <c r="K164" s="150">
        <f t="shared" ref="K164" si="42">IFERROR(K$10*K36,"")</f>
        <v>0</v>
      </c>
      <c r="L164" s="150"/>
      <c r="M164" s="150"/>
      <c r="N164" s="150"/>
      <c r="O164" s="150"/>
      <c r="R164" s="78"/>
    </row>
    <row r="165" spans="3:18" x14ac:dyDescent="0.2">
      <c r="C165" s="173" t="str">
        <f t="shared" si="9"/>
        <v>TV Básico Plus + HD + Telefonía + 500 MegasResidencial</v>
      </c>
      <c r="D165" s="72">
        <f t="shared" si="14"/>
        <v>17</v>
      </c>
      <c r="E165" s="77" t="str">
        <v>TV Básico Plus + HD + Telefonía + 500 Megas</v>
      </c>
      <c r="F165" s="77" t="str">
        <f t="shared" si="10"/>
        <v>Residencial</v>
      </c>
      <c r="G165" s="77" t="str">
        <f t="shared" si="11"/>
        <v>STAR + Internet fijo + Telefonía fija</v>
      </c>
      <c r="H165" s="61" t="s">
        <v>144</v>
      </c>
      <c r="I165" s="84"/>
      <c r="J165" s="150">
        <f t="shared" ref="J165" si="43">IFERROR(J$10*J37,"")</f>
        <v>0</v>
      </c>
      <c r="K165" s="150">
        <f t="shared" ref="K165" si="44">IFERROR(K$10*K37,"")</f>
        <v>0</v>
      </c>
      <c r="L165" s="150"/>
      <c r="M165" s="150"/>
      <c r="N165" s="150"/>
      <c r="O165" s="150"/>
      <c r="R165" s="78"/>
    </row>
    <row r="166" spans="3:18" x14ac:dyDescent="0.2">
      <c r="C166" s="173" t="str">
        <f t="shared" si="9"/>
        <v>TV Básico Plus + HD + Telefonía + 500 Megas SimetricoResidencial</v>
      </c>
      <c r="D166" s="72">
        <f t="shared" si="14"/>
        <v>18</v>
      </c>
      <c r="E166" s="77" t="str">
        <v>TV Básico Plus + HD + Telefonía + 500 Megas Simetrico</v>
      </c>
      <c r="F166" s="77" t="str">
        <f t="shared" si="10"/>
        <v>Residencial</v>
      </c>
      <c r="G166" s="77" t="str">
        <f t="shared" si="11"/>
        <v>STAR + Internet fijo + Telefonía fija</v>
      </c>
      <c r="H166" s="61" t="s">
        <v>144</v>
      </c>
      <c r="I166" s="84"/>
      <c r="J166" s="150">
        <f t="shared" ref="J166" si="45">IFERROR(J$10*J38,"")</f>
        <v>0</v>
      </c>
      <c r="K166" s="150">
        <f t="shared" ref="K166" si="46">IFERROR(K$10*K38,"")</f>
        <v>0</v>
      </c>
      <c r="L166" s="150"/>
      <c r="M166" s="150"/>
      <c r="N166" s="150"/>
      <c r="O166" s="150"/>
      <c r="R166" s="78"/>
    </row>
    <row r="167" spans="3:18" x14ac:dyDescent="0.2">
      <c r="C167" s="173" t="str">
        <f t="shared" si="9"/>
        <v>TV Básico Plus + HD + Telefonía + 60 MegasResidencial</v>
      </c>
      <c r="D167" s="72">
        <f t="shared" si="14"/>
        <v>19</v>
      </c>
      <c r="E167" s="77" t="str">
        <v>TV Básico Plus + HD + Telefonía + 60 Megas</v>
      </c>
      <c r="F167" s="77" t="str">
        <f t="shared" si="10"/>
        <v>Residencial</v>
      </c>
      <c r="G167" s="77" t="str">
        <f t="shared" si="11"/>
        <v>STAR + Internet fijo + Telefonía fija</v>
      </c>
      <c r="H167" s="61" t="s">
        <v>144</v>
      </c>
      <c r="I167" s="84"/>
      <c r="J167" s="150">
        <f t="shared" ref="J167" si="47">IFERROR(J$10*J39,"")</f>
        <v>0</v>
      </c>
      <c r="K167" s="150">
        <f t="shared" ref="K167" si="48">IFERROR(K$10*K39,"")</f>
        <v>0</v>
      </c>
      <c r="L167" s="150"/>
      <c r="M167" s="150"/>
      <c r="N167" s="150"/>
      <c r="O167" s="150"/>
      <c r="R167" s="78"/>
    </row>
    <row r="168" spans="3:18" x14ac:dyDescent="0.2">
      <c r="C168" s="173" t="str">
        <f t="shared" si="9"/>
        <v>TV Básico Plus + HD + Telefonía + 60 Megas SimetricoResidencial</v>
      </c>
      <c r="D168" s="72">
        <f t="shared" si="14"/>
        <v>20</v>
      </c>
      <c r="E168" s="77" t="str">
        <v>TV Básico Plus + HD + Telefonía + 60 Megas Simetrico</v>
      </c>
      <c r="F168" s="77" t="str">
        <f t="shared" si="10"/>
        <v>Residencial</v>
      </c>
      <c r="G168" s="77" t="str">
        <f t="shared" si="11"/>
        <v>STAR + Internet fijo + Telefonía fija</v>
      </c>
      <c r="H168" s="61" t="s">
        <v>144</v>
      </c>
      <c r="I168" s="84"/>
      <c r="J168" s="150">
        <f t="shared" ref="J168" si="49">IFERROR(J$10*J40,"")</f>
        <v>0</v>
      </c>
      <c r="K168" s="150">
        <f t="shared" ref="K168" si="50">IFERROR(K$10*K40,"")</f>
        <v>0</v>
      </c>
      <c r="L168" s="150"/>
      <c r="M168" s="150"/>
      <c r="N168" s="150"/>
      <c r="O168" s="150"/>
      <c r="R168" s="78"/>
    </row>
    <row r="169" spans="3:18" x14ac:dyDescent="0.2">
      <c r="C169" s="173" t="str">
        <f t="shared" si="9"/>
        <v>TV Básico Plus + HD Negocio + Telefonía Negocio + 100 Megas NegocioNegocio</v>
      </c>
      <c r="D169" s="72">
        <f t="shared" si="14"/>
        <v>21</v>
      </c>
      <c r="E169" s="77" t="str">
        <v>TV Básico Plus + HD Negocio + Telefonía Negocio + 100 Megas Negocio</v>
      </c>
      <c r="F169" s="77" t="str">
        <f t="shared" si="10"/>
        <v>Negocio</v>
      </c>
      <c r="G169" s="77" t="str">
        <f t="shared" si="11"/>
        <v>STAR + Internet fijo + Telefonía fija</v>
      </c>
      <c r="H169" s="61" t="s">
        <v>144</v>
      </c>
      <c r="I169" s="84"/>
      <c r="J169" s="150">
        <f t="shared" ref="J169" si="51">IFERROR(J$10*J41,"")</f>
        <v>0</v>
      </c>
      <c r="K169" s="150">
        <f t="shared" ref="K169" si="52">IFERROR(K$10*K41,"")</f>
        <v>0</v>
      </c>
      <c r="L169" s="150"/>
      <c r="M169" s="150"/>
      <c r="N169" s="150"/>
      <c r="O169" s="150"/>
      <c r="R169" s="78"/>
    </row>
    <row r="170" spans="3:18" x14ac:dyDescent="0.2">
      <c r="C170" s="173" t="str">
        <f t="shared" si="9"/>
        <v>TV Básico Plus + HD Negocio + Telefonía Negocio + 100 Megas Simetrico NegocioNegocio</v>
      </c>
      <c r="D170" s="72">
        <f t="shared" si="14"/>
        <v>22</v>
      </c>
      <c r="E170" s="77" t="str">
        <v>TV Básico Plus + HD Negocio + Telefonía Negocio + 100 Megas Simetrico Negocio</v>
      </c>
      <c r="F170" s="77" t="str">
        <f t="shared" si="10"/>
        <v>Negocio</v>
      </c>
      <c r="G170" s="77" t="str">
        <f t="shared" si="11"/>
        <v>STAR + Internet fijo + Telefonía fija</v>
      </c>
      <c r="H170" s="61" t="s">
        <v>144</v>
      </c>
      <c r="I170" s="84"/>
      <c r="J170" s="150">
        <f t="shared" ref="J170" si="53">IFERROR(J$10*J42,"")</f>
        <v>0</v>
      </c>
      <c r="K170" s="150">
        <f t="shared" ref="K170" si="54">IFERROR(K$10*K42,"")</f>
        <v>0</v>
      </c>
      <c r="L170" s="150"/>
      <c r="M170" s="150"/>
      <c r="N170" s="150"/>
      <c r="O170" s="150"/>
      <c r="R170" s="78"/>
    </row>
    <row r="171" spans="3:18" x14ac:dyDescent="0.2">
      <c r="C171" s="173" t="str">
        <f t="shared" si="9"/>
        <v>TV Básico Plus + HD Negocio + Telefonía Negocio + 1000 Megas NegocioNegocio</v>
      </c>
      <c r="D171" s="72">
        <f t="shared" si="14"/>
        <v>23</v>
      </c>
      <c r="E171" s="77" t="str">
        <v>TV Básico Plus + HD Negocio + Telefonía Negocio + 1000 Megas Negocio</v>
      </c>
      <c r="F171" s="77" t="str">
        <f t="shared" si="10"/>
        <v>Negocio</v>
      </c>
      <c r="G171" s="77" t="str">
        <f t="shared" si="11"/>
        <v>STAR + Internet fijo + Telefonía fija</v>
      </c>
      <c r="H171" s="61" t="s">
        <v>144</v>
      </c>
      <c r="I171" s="84"/>
      <c r="J171" s="150">
        <f t="shared" ref="J171" si="55">IFERROR(J$10*J43,"")</f>
        <v>0</v>
      </c>
      <c r="K171" s="150">
        <f t="shared" ref="K171" si="56">IFERROR(K$10*K43,"")</f>
        <v>0</v>
      </c>
      <c r="L171" s="150"/>
      <c r="M171" s="150"/>
      <c r="N171" s="150"/>
      <c r="O171" s="150"/>
      <c r="R171" s="78"/>
    </row>
    <row r="172" spans="3:18" x14ac:dyDescent="0.2">
      <c r="C172" s="173" t="str">
        <f t="shared" si="9"/>
        <v>TV Básico Plus + HD Negocio + Telefonía Negocio + 250 Megas NegocioNegocio</v>
      </c>
      <c r="D172" s="72">
        <f t="shared" si="14"/>
        <v>24</v>
      </c>
      <c r="E172" s="77" t="str">
        <v>TV Básico Plus + HD Negocio + Telefonía Negocio + 250 Megas Negocio</v>
      </c>
      <c r="F172" s="77" t="str">
        <f t="shared" si="10"/>
        <v>Negocio</v>
      </c>
      <c r="G172" s="77" t="str">
        <f t="shared" si="11"/>
        <v>STAR + Internet fijo + Telefonía fija</v>
      </c>
      <c r="H172" s="61" t="s">
        <v>144</v>
      </c>
      <c r="I172" s="84"/>
      <c r="J172" s="150">
        <f t="shared" ref="J172" si="57">IFERROR(J$10*J44,"")</f>
        <v>0</v>
      </c>
      <c r="K172" s="150">
        <f t="shared" ref="K172" si="58">IFERROR(K$10*K44,"")</f>
        <v>0</v>
      </c>
      <c r="L172" s="150"/>
      <c r="M172" s="150"/>
      <c r="N172" s="150"/>
      <c r="O172" s="150"/>
      <c r="R172" s="78"/>
    </row>
    <row r="173" spans="3:18" x14ac:dyDescent="0.2">
      <c r="C173" s="173" t="str">
        <f t="shared" si="9"/>
        <v>TV Básico Plus + HD Negocio + Telefonía Negocio + 250 Megas Simetrico NegocioNegocio</v>
      </c>
      <c r="D173" s="72">
        <f t="shared" si="14"/>
        <v>25</v>
      </c>
      <c r="E173" s="77" t="str">
        <v>TV Básico Plus + HD Negocio + Telefonía Negocio + 250 Megas Simetrico Negocio</v>
      </c>
      <c r="F173" s="77" t="str">
        <f t="shared" si="10"/>
        <v>Negocio</v>
      </c>
      <c r="G173" s="77" t="str">
        <f t="shared" si="11"/>
        <v>STAR + Internet fijo + Telefonía fija</v>
      </c>
      <c r="H173" s="61" t="s">
        <v>144</v>
      </c>
      <c r="I173" s="84"/>
      <c r="J173" s="150">
        <f t="shared" ref="J173" si="59">IFERROR(J$10*J45,"")</f>
        <v>0</v>
      </c>
      <c r="K173" s="150">
        <f t="shared" ref="K173" si="60">IFERROR(K$10*K45,"")</f>
        <v>0</v>
      </c>
      <c r="L173" s="150"/>
      <c r="M173" s="150"/>
      <c r="N173" s="150"/>
      <c r="O173" s="150"/>
      <c r="R173" s="78"/>
    </row>
    <row r="174" spans="3:18" x14ac:dyDescent="0.2">
      <c r="C174" s="173" t="str">
        <f t="shared" si="9"/>
        <v>TV Básico Plus + HD Negocio + Telefonía Negocio + 500 Megas NegocioNegocio</v>
      </c>
      <c r="D174" s="72">
        <f t="shared" si="14"/>
        <v>26</v>
      </c>
      <c r="E174" s="77" t="str">
        <v>TV Básico Plus + HD Negocio + Telefonía Negocio + 500 Megas Negocio</v>
      </c>
      <c r="F174" s="77" t="str">
        <f t="shared" si="10"/>
        <v>Negocio</v>
      </c>
      <c r="G174" s="77" t="str">
        <f t="shared" si="11"/>
        <v>STAR + Internet fijo + Telefonía fija</v>
      </c>
      <c r="H174" s="61" t="s">
        <v>144</v>
      </c>
      <c r="I174" s="84"/>
      <c r="J174" s="150">
        <f t="shared" ref="J174" si="61">IFERROR(J$10*J46,"")</f>
        <v>0</v>
      </c>
      <c r="K174" s="150">
        <f t="shared" ref="K174" si="62">IFERROR(K$10*K46,"")</f>
        <v>0</v>
      </c>
      <c r="L174" s="150"/>
      <c r="M174" s="150"/>
      <c r="N174" s="150"/>
      <c r="O174" s="150"/>
      <c r="R174" s="78"/>
    </row>
    <row r="175" spans="3:18" x14ac:dyDescent="0.2">
      <c r="C175" s="173" t="str">
        <f t="shared" si="9"/>
        <v>TV Básico Plus + HD Negocio + Telefonía Negocio + 500 Megas Simetrico NegocioNegocio</v>
      </c>
      <c r="D175" s="72">
        <f t="shared" si="14"/>
        <v>27</v>
      </c>
      <c r="E175" s="77" t="str">
        <v>TV Básico Plus + HD Negocio + Telefonía Negocio + 500 Megas Simetrico Negocio</v>
      </c>
      <c r="F175" s="77" t="str">
        <f t="shared" si="10"/>
        <v>Negocio</v>
      </c>
      <c r="G175" s="77" t="str">
        <f t="shared" si="11"/>
        <v>STAR + Internet fijo + Telefonía fija</v>
      </c>
      <c r="H175" s="61" t="s">
        <v>144</v>
      </c>
      <c r="I175" s="84"/>
      <c r="J175" s="150">
        <f t="shared" ref="J175" si="63">IFERROR(J$10*J47,"")</f>
        <v>0</v>
      </c>
      <c r="K175" s="150">
        <f t="shared" ref="K175" si="64">IFERROR(K$10*K47,"")</f>
        <v>0</v>
      </c>
      <c r="L175" s="150"/>
      <c r="M175" s="150"/>
      <c r="N175" s="150"/>
      <c r="O175" s="150"/>
      <c r="R175" s="78"/>
    </row>
    <row r="176" spans="3:18" x14ac:dyDescent="0.2">
      <c r="C176" s="173" t="str">
        <f t="shared" si="9"/>
        <v>TV Básico Plus + HD Negocio + Telefonía Negocio + 60 Megas NegocioNegocio</v>
      </c>
      <c r="D176" s="72">
        <f t="shared" si="14"/>
        <v>28</v>
      </c>
      <c r="E176" s="77" t="str">
        <v>TV Básico Plus + HD Negocio + Telefonía Negocio + 60 Megas Negocio</v>
      </c>
      <c r="F176" s="77" t="str">
        <f t="shared" si="10"/>
        <v>Negocio</v>
      </c>
      <c r="G176" s="77" t="str">
        <f t="shared" si="11"/>
        <v>STAR + Internet fijo + Telefonía fija</v>
      </c>
      <c r="H176" s="61" t="s">
        <v>144</v>
      </c>
      <c r="I176" s="84"/>
      <c r="J176" s="150">
        <f t="shared" ref="J176" si="65">IFERROR(J$10*J48,"")</f>
        <v>0</v>
      </c>
      <c r="K176" s="150">
        <f t="shared" ref="K176" si="66">IFERROR(K$10*K48,"")</f>
        <v>0</v>
      </c>
      <c r="L176" s="150"/>
      <c r="M176" s="150"/>
      <c r="N176" s="150"/>
      <c r="O176" s="150"/>
      <c r="R176" s="78"/>
    </row>
    <row r="177" spans="3:18" x14ac:dyDescent="0.2">
      <c r="C177" s="173" t="str">
        <f t="shared" si="9"/>
        <v>TV Básico Plus + HD Negocio + Telefonía Negocio + 60 Megas Simetrico NegocioNegocio</v>
      </c>
      <c r="D177" s="72">
        <f t="shared" si="14"/>
        <v>29</v>
      </c>
      <c r="E177" s="77" t="str">
        <v>TV Básico Plus + HD Negocio + Telefonía Negocio + 60 Megas Simetrico Negocio</v>
      </c>
      <c r="F177" s="77" t="str">
        <f t="shared" si="10"/>
        <v>Negocio</v>
      </c>
      <c r="G177" s="77" t="str">
        <f t="shared" si="11"/>
        <v>STAR + Internet fijo + Telefonía fija</v>
      </c>
      <c r="H177" s="61" t="s">
        <v>144</v>
      </c>
      <c r="I177" s="84"/>
      <c r="J177" s="150">
        <f t="shared" ref="J177" si="67">IFERROR(J$10*J49,"")</f>
        <v>0</v>
      </c>
      <c r="K177" s="150">
        <f t="shared" ref="K177" si="68">IFERROR(K$10*K49,"")</f>
        <v>0</v>
      </c>
      <c r="L177" s="150"/>
      <c r="M177" s="150"/>
      <c r="N177" s="150"/>
      <c r="O177" s="150"/>
      <c r="R177" s="78"/>
    </row>
    <row r="178" spans="3:18" x14ac:dyDescent="0.2">
      <c r="C178" s="173" t="str">
        <f t="shared" si="9"/>
        <v>TV Básico Plus Negocio + 100 Megas NegocioNegocio</v>
      </c>
      <c r="D178" s="72">
        <f t="shared" si="14"/>
        <v>30</v>
      </c>
      <c r="E178" s="77" t="str">
        <v>TV Básico Plus Negocio + 100 Megas Negocio</v>
      </c>
      <c r="F178" s="77" t="str">
        <f t="shared" si="10"/>
        <v>Negocio</v>
      </c>
      <c r="G178" s="77" t="str">
        <f t="shared" si="10"/>
        <v>STAR + Internet fijo</v>
      </c>
      <c r="H178" s="61" t="s">
        <v>144</v>
      </c>
      <c r="I178" s="84"/>
      <c r="J178" s="150">
        <f t="shared" ref="J178" si="69">IFERROR(J$10*J50,"")</f>
        <v>58.913900000000005</v>
      </c>
      <c r="K178" s="150">
        <f t="shared" ref="K178" si="70">IFERROR(K$10*K50,"")</f>
        <v>56.872199999999999</v>
      </c>
      <c r="L178" s="150"/>
      <c r="M178" s="150"/>
      <c r="N178" s="150"/>
      <c r="O178" s="150"/>
      <c r="R178" s="78"/>
    </row>
    <row r="179" spans="3:18" x14ac:dyDescent="0.2">
      <c r="C179" s="173" t="str">
        <f t="shared" si="9"/>
        <v>TV Básico Plus Negocio + 100 Megas Simetrico NegocioNegocio</v>
      </c>
      <c r="D179" s="72">
        <f t="shared" si="14"/>
        <v>31</v>
      </c>
      <c r="E179" s="77" t="str">
        <v>TV Básico Plus Negocio + 100 Megas Simetrico Negocio</v>
      </c>
      <c r="F179" s="77" t="str">
        <f t="shared" si="10"/>
        <v>Negocio</v>
      </c>
      <c r="G179" s="77" t="str">
        <f t="shared" si="10"/>
        <v>STAR + Internet fijo</v>
      </c>
      <c r="H179" s="61" t="s">
        <v>144</v>
      </c>
      <c r="I179" s="84"/>
      <c r="J179" s="150">
        <f t="shared" ref="J179" si="71">IFERROR(J$10*J51,"")</f>
        <v>0</v>
      </c>
      <c r="K179" s="150">
        <f t="shared" ref="K179" si="72">IFERROR(K$10*K51,"")</f>
        <v>0</v>
      </c>
      <c r="L179" s="150"/>
      <c r="M179" s="150"/>
      <c r="N179" s="150"/>
      <c r="O179" s="150"/>
      <c r="R179" s="78"/>
    </row>
    <row r="180" spans="3:18" x14ac:dyDescent="0.2">
      <c r="C180" s="173" t="str">
        <f t="shared" si="9"/>
        <v>TV Básico Plus Negocio + 1000 Megas NegocioNegocio</v>
      </c>
      <c r="D180" s="72">
        <f t="shared" si="14"/>
        <v>32</v>
      </c>
      <c r="E180" s="77" t="str">
        <v>TV Básico Plus Negocio + 1000 Megas Negocio</v>
      </c>
      <c r="F180" s="77" t="str">
        <f t="shared" si="10"/>
        <v>Negocio</v>
      </c>
      <c r="G180" s="77" t="str">
        <f t="shared" si="10"/>
        <v>STAR + Internet fijo</v>
      </c>
      <c r="H180" s="61" t="s">
        <v>144</v>
      </c>
      <c r="I180" s="84"/>
      <c r="J180" s="150">
        <f t="shared" ref="J180" si="73">IFERROR(J$10*J52,"")</f>
        <v>58.913900000000005</v>
      </c>
      <c r="K180" s="150">
        <f t="shared" ref="K180" si="74">IFERROR(K$10*K52,"")</f>
        <v>56.872199999999999</v>
      </c>
      <c r="L180" s="150"/>
      <c r="M180" s="150"/>
      <c r="N180" s="150"/>
      <c r="O180" s="150"/>
      <c r="R180" s="78"/>
    </row>
    <row r="181" spans="3:18" x14ac:dyDescent="0.2">
      <c r="C181" s="173" t="str">
        <f t="shared" si="9"/>
        <v>TV Básico Plus Negocio + 250 Megas NegocioNegocio</v>
      </c>
      <c r="D181" s="72">
        <f t="shared" si="14"/>
        <v>33</v>
      </c>
      <c r="E181" s="77" t="str">
        <v>TV Básico Plus Negocio + 250 Megas Negocio</v>
      </c>
      <c r="F181" s="77" t="str">
        <f t="shared" si="10"/>
        <v>Negocio</v>
      </c>
      <c r="G181" s="77" t="str">
        <f t="shared" si="10"/>
        <v>STAR + Internet fijo</v>
      </c>
      <c r="H181" s="61" t="s">
        <v>144</v>
      </c>
      <c r="I181" s="84"/>
      <c r="J181" s="150">
        <f t="shared" ref="J181" si="75">IFERROR(J$10*J53,"")</f>
        <v>235.65560000000002</v>
      </c>
      <c r="K181" s="150">
        <f t="shared" ref="K181" si="76">IFERROR(K$10*K53,"")</f>
        <v>227.4888</v>
      </c>
      <c r="L181" s="150"/>
      <c r="M181" s="150"/>
      <c r="N181" s="150"/>
      <c r="O181" s="150"/>
      <c r="R181" s="78"/>
    </row>
    <row r="182" spans="3:18" x14ac:dyDescent="0.2">
      <c r="C182" s="173" t="str">
        <f t="shared" si="9"/>
        <v>TV Básico Plus Negocio + 250 Megas Simetrico NegocioNegocio</v>
      </c>
      <c r="D182" s="72">
        <f t="shared" si="14"/>
        <v>34</v>
      </c>
      <c r="E182" s="77" t="str">
        <v>TV Básico Plus Negocio + 250 Megas Simetrico Negocio</v>
      </c>
      <c r="F182" s="77" t="str">
        <f t="shared" si="10"/>
        <v>Negocio</v>
      </c>
      <c r="G182" s="77" t="str">
        <f t="shared" si="10"/>
        <v>STAR + Internet fijo</v>
      </c>
      <c r="H182" s="61" t="s">
        <v>144</v>
      </c>
      <c r="I182" s="84"/>
      <c r="J182" s="150">
        <f t="shared" ref="J182" si="77">IFERROR(J$10*J54,"")</f>
        <v>0</v>
      </c>
      <c r="K182" s="150">
        <f t="shared" ref="K182" si="78">IFERROR(K$10*K54,"")</f>
        <v>0</v>
      </c>
      <c r="L182" s="150"/>
      <c r="M182" s="150"/>
      <c r="N182" s="150"/>
      <c r="O182" s="150"/>
      <c r="R182" s="78"/>
    </row>
    <row r="183" spans="3:18" x14ac:dyDescent="0.2">
      <c r="C183" s="173" t="str">
        <f t="shared" si="9"/>
        <v>TV Básico Plus Negocio + 500 Megas NegocioNegocio</v>
      </c>
      <c r="D183" s="72">
        <f t="shared" si="14"/>
        <v>35</v>
      </c>
      <c r="E183" s="77" t="str">
        <v>TV Básico Plus Negocio + 500 Megas Negocio</v>
      </c>
      <c r="F183" s="77" t="str">
        <f t="shared" si="10"/>
        <v>Negocio</v>
      </c>
      <c r="G183" s="77" t="str">
        <f t="shared" si="10"/>
        <v>STAR + Internet fijo</v>
      </c>
      <c r="H183" s="61" t="s">
        <v>144</v>
      </c>
      <c r="I183" s="84"/>
      <c r="J183" s="150">
        <f t="shared" ref="J183" si="79">IFERROR(J$10*J55,"")</f>
        <v>58.913900000000005</v>
      </c>
      <c r="K183" s="150">
        <f t="shared" ref="K183" si="80">IFERROR(K$10*K55,"")</f>
        <v>56.872199999999999</v>
      </c>
      <c r="L183" s="150"/>
      <c r="M183" s="150"/>
      <c r="N183" s="150"/>
      <c r="O183" s="150"/>
      <c r="R183" s="78"/>
    </row>
    <row r="184" spans="3:18" x14ac:dyDescent="0.2">
      <c r="C184" s="173" t="str">
        <f t="shared" si="9"/>
        <v>TV Básico Plus Negocio + 500 Megas Simetrico NegocioNegocio</v>
      </c>
      <c r="D184" s="72">
        <f t="shared" si="14"/>
        <v>36</v>
      </c>
      <c r="E184" s="77" t="str">
        <v>TV Básico Plus Negocio + 500 Megas Simetrico Negocio</v>
      </c>
      <c r="F184" s="77" t="str">
        <f t="shared" si="10"/>
        <v>Negocio</v>
      </c>
      <c r="G184" s="77" t="str">
        <f t="shared" si="10"/>
        <v>STAR + Internet fijo</v>
      </c>
      <c r="H184" s="61" t="s">
        <v>144</v>
      </c>
      <c r="I184" s="84"/>
      <c r="J184" s="150">
        <f t="shared" ref="J184" si="81">IFERROR(J$10*J56,"")</f>
        <v>0</v>
      </c>
      <c r="K184" s="150">
        <f t="shared" ref="K184" si="82">IFERROR(K$10*K56,"")</f>
        <v>0</v>
      </c>
      <c r="L184" s="150"/>
      <c r="M184" s="150"/>
      <c r="N184" s="150"/>
      <c r="O184" s="150"/>
      <c r="R184" s="78"/>
    </row>
    <row r="185" spans="3:18" x14ac:dyDescent="0.2">
      <c r="C185" s="173" t="str">
        <f t="shared" si="9"/>
        <v>TV Básico Plus Negocio + 60 Megas NegocioNegocio</v>
      </c>
      <c r="D185" s="72">
        <f t="shared" si="14"/>
        <v>37</v>
      </c>
      <c r="E185" s="77" t="str">
        <v>TV Básico Plus Negocio + 60 Megas Negocio</v>
      </c>
      <c r="F185" s="77" t="str">
        <f t="shared" si="10"/>
        <v>Negocio</v>
      </c>
      <c r="G185" s="77" t="str">
        <f t="shared" si="10"/>
        <v>STAR + Internet fijo</v>
      </c>
      <c r="H185" s="61" t="s">
        <v>144</v>
      </c>
      <c r="I185" s="84"/>
      <c r="J185" s="150">
        <f t="shared" ref="J185" si="83">IFERROR(J$10*J57,"")</f>
        <v>412.39729999999997</v>
      </c>
      <c r="K185" s="150">
        <f t="shared" ref="K185" si="84">IFERROR(K$10*K57,"")</f>
        <v>398.10539999999997</v>
      </c>
      <c r="L185" s="150"/>
      <c r="M185" s="150"/>
      <c r="N185" s="150"/>
      <c r="O185" s="150"/>
      <c r="R185" s="78"/>
    </row>
    <row r="186" spans="3:18" x14ac:dyDescent="0.2">
      <c r="C186" s="173" t="str">
        <f t="shared" si="9"/>
        <v>TV Básico Plus Negocio + 60 Megas Simetrico NegocioNegocio</v>
      </c>
      <c r="D186" s="72">
        <f t="shared" si="14"/>
        <v>38</v>
      </c>
      <c r="E186" s="77" t="str">
        <v>TV Básico Plus Negocio + 60 Megas Simetrico Negocio</v>
      </c>
      <c r="F186" s="77" t="str">
        <f t="shared" si="10"/>
        <v>Negocio</v>
      </c>
      <c r="G186" s="77" t="str">
        <f t="shared" si="10"/>
        <v>STAR + Internet fijo</v>
      </c>
      <c r="H186" s="61" t="s">
        <v>144</v>
      </c>
      <c r="I186" s="84"/>
      <c r="J186" s="150">
        <f t="shared" ref="J186" si="85">IFERROR(J$10*J58,"")</f>
        <v>0</v>
      </c>
      <c r="K186" s="150">
        <f t="shared" ref="K186" si="86">IFERROR(K$10*K58,"")</f>
        <v>0</v>
      </c>
      <c r="L186" s="150"/>
      <c r="M186" s="150"/>
      <c r="N186" s="150"/>
      <c r="O186" s="150"/>
      <c r="R186" s="78"/>
    </row>
    <row r="187" spans="3:18" x14ac:dyDescent="0.2">
      <c r="C187" s="173" t="str">
        <f t="shared" si="9"/>
        <v>TV Básico Plus Xview+ + Telefonía + 100 MegasResidencial</v>
      </c>
      <c r="D187" s="72">
        <f t="shared" si="14"/>
        <v>39</v>
      </c>
      <c r="E187" s="77" t="str">
        <v>TV Básico Plus Xview+ + Telefonía + 100 Megas</v>
      </c>
      <c r="F187" s="77" t="str">
        <f t="shared" si="10"/>
        <v>Residencial</v>
      </c>
      <c r="G187" s="77" t="str">
        <f t="shared" si="10"/>
        <v>STAR + Internet fijo + Telefonía fija</v>
      </c>
      <c r="H187" s="61" t="s">
        <v>144</v>
      </c>
      <c r="I187" s="84"/>
      <c r="J187" s="150">
        <f t="shared" ref="J187" si="87">IFERROR(J$10*J59,"")</f>
        <v>12548.6607</v>
      </c>
      <c r="K187" s="150">
        <f t="shared" ref="K187" si="88">IFERROR(K$10*K59,"")</f>
        <v>12113.7786</v>
      </c>
      <c r="L187" s="150"/>
      <c r="M187" s="150"/>
      <c r="N187" s="150"/>
      <c r="O187" s="150"/>
      <c r="R187" s="78"/>
    </row>
    <row r="188" spans="3:18" x14ac:dyDescent="0.2">
      <c r="C188" s="173" t="str">
        <f t="shared" si="9"/>
        <v>TV Básico Plus Xview+ + Telefonía + 100 Megas SimetricoResidencial</v>
      </c>
      <c r="D188" s="72">
        <f t="shared" si="14"/>
        <v>40</v>
      </c>
      <c r="E188" s="77" t="str">
        <v>TV Básico Plus Xview+ + Telefonía + 100 Megas Simetrico</v>
      </c>
      <c r="F188" s="77" t="str">
        <f t="shared" si="10"/>
        <v>Residencial</v>
      </c>
      <c r="G188" s="77" t="str">
        <f t="shared" si="10"/>
        <v>STAR + Internet fijo + Telefonía fija</v>
      </c>
      <c r="H188" s="61" t="s">
        <v>144</v>
      </c>
      <c r="I188" s="84"/>
      <c r="J188" s="150">
        <f t="shared" ref="J188" si="89">IFERROR(J$10*J60,"")</f>
        <v>58.913900000000005</v>
      </c>
      <c r="K188" s="150">
        <f t="shared" ref="K188" si="90">IFERROR(K$10*K60,"")</f>
        <v>56.872199999999999</v>
      </c>
      <c r="L188" s="150"/>
      <c r="M188" s="150"/>
      <c r="N188" s="150"/>
      <c r="O188" s="150"/>
      <c r="R188" s="78"/>
    </row>
    <row r="189" spans="3:18" x14ac:dyDescent="0.2">
      <c r="C189" s="173" t="str">
        <f t="shared" si="9"/>
        <v>TV Básico Plus Xview+ + Telefonía + 1000 MegasResidencial</v>
      </c>
      <c r="D189" s="72">
        <f t="shared" si="14"/>
        <v>41</v>
      </c>
      <c r="E189" s="77" t="str">
        <v>TV Básico Plus Xview+ + Telefonía + 1000 Megas</v>
      </c>
      <c r="F189" s="77" t="str">
        <f t="shared" si="10"/>
        <v>Residencial</v>
      </c>
      <c r="G189" s="77" t="str">
        <f t="shared" si="10"/>
        <v>STAR + Internet fijo + Telefonía fija</v>
      </c>
      <c r="H189" s="61" t="s">
        <v>144</v>
      </c>
      <c r="I189" s="84"/>
      <c r="J189" s="150">
        <f t="shared" ref="J189" si="91">IFERROR(J$10*J61,"")</f>
        <v>5832.4761000000008</v>
      </c>
      <c r="K189" s="150">
        <f t="shared" ref="K189" si="92">IFERROR(K$10*K61,"")</f>
        <v>5630.3478000000005</v>
      </c>
      <c r="L189" s="150"/>
      <c r="M189" s="150"/>
      <c r="N189" s="150"/>
      <c r="O189" s="150"/>
      <c r="R189" s="78"/>
    </row>
    <row r="190" spans="3:18" x14ac:dyDescent="0.2">
      <c r="C190" s="173" t="str">
        <f t="shared" si="9"/>
        <v>TV Básico Plus Xview+ + Telefonía + 250 MegasResidencial</v>
      </c>
      <c r="D190" s="72">
        <f t="shared" si="14"/>
        <v>42</v>
      </c>
      <c r="E190" s="77" t="str">
        <v>TV Básico Plus Xview+ + Telefonía + 250 Megas</v>
      </c>
      <c r="F190" s="77" t="str">
        <f t="shared" si="10"/>
        <v>Residencial</v>
      </c>
      <c r="G190" s="77" t="str">
        <f t="shared" si="10"/>
        <v>STAR + Internet fijo + Telefonía fija</v>
      </c>
      <c r="H190" s="61" t="s">
        <v>144</v>
      </c>
      <c r="I190" s="84"/>
      <c r="J190" s="150">
        <f t="shared" ref="J190" si="93">IFERROR(J$10*J62,"")</f>
        <v>32756.128399999998</v>
      </c>
      <c r="K190" s="150">
        <f t="shared" ref="K190" si="94">IFERROR(K$10*K62,"")</f>
        <v>31620.943199999998</v>
      </c>
      <c r="L190" s="150"/>
      <c r="M190" s="150"/>
      <c r="N190" s="150"/>
      <c r="O190" s="150"/>
      <c r="R190" s="78"/>
    </row>
    <row r="191" spans="3:18" x14ac:dyDescent="0.2">
      <c r="C191" s="173" t="str">
        <f t="shared" si="9"/>
        <v>TV Básico Plus Xview+ + Telefonía + 250 Megas SimetricoResidencial</v>
      </c>
      <c r="D191" s="72">
        <f t="shared" si="14"/>
        <v>43</v>
      </c>
      <c r="E191" s="77" t="str">
        <v>TV Básico Plus Xview+ + Telefonía + 250 Megas Simetrico</v>
      </c>
      <c r="F191" s="77" t="str">
        <f t="shared" si="10"/>
        <v>Residencial</v>
      </c>
      <c r="G191" s="77" t="str">
        <f t="shared" si="10"/>
        <v>STAR + Internet fijo + Telefonía fija</v>
      </c>
      <c r="H191" s="61" t="s">
        <v>144</v>
      </c>
      <c r="I191" s="84"/>
      <c r="J191" s="150">
        <f t="shared" ref="J191" si="95">IFERROR(J$10*J63,"")</f>
        <v>58.913900000000005</v>
      </c>
      <c r="K191" s="150">
        <f t="shared" ref="K191" si="96">IFERROR(K$10*K63,"")</f>
        <v>56.872199999999999</v>
      </c>
      <c r="L191" s="150"/>
      <c r="M191" s="150"/>
      <c r="N191" s="150"/>
      <c r="O191" s="150"/>
      <c r="R191" s="78"/>
    </row>
    <row r="192" spans="3:18" x14ac:dyDescent="0.2">
      <c r="C192" s="173" t="str">
        <f t="shared" si="9"/>
        <v>TV Básico Plus Xview+ + Telefonía + 500 MegasResidencial</v>
      </c>
      <c r="D192" s="72">
        <f t="shared" si="14"/>
        <v>44</v>
      </c>
      <c r="E192" s="77" t="str">
        <v>TV Básico Plus Xview+ + Telefonía + 500 Megas</v>
      </c>
      <c r="F192" s="77" t="str">
        <f t="shared" si="10"/>
        <v>Residencial</v>
      </c>
      <c r="G192" s="77" t="str">
        <f t="shared" si="10"/>
        <v>STAR + Internet fijo + Telefonía fija</v>
      </c>
      <c r="H192" s="61" t="s">
        <v>144</v>
      </c>
      <c r="I192" s="84"/>
      <c r="J192" s="150">
        <f t="shared" ref="J192" si="97">IFERROR(J$10*J64,"")</f>
        <v>7187.4958000000006</v>
      </c>
      <c r="K192" s="150">
        <f t="shared" ref="K192" si="98">IFERROR(K$10*K64,"")</f>
        <v>6938.4084000000003</v>
      </c>
      <c r="L192" s="150"/>
      <c r="M192" s="150"/>
      <c r="N192" s="150"/>
      <c r="O192" s="150"/>
      <c r="R192" s="78"/>
    </row>
    <row r="193" spans="3:18" x14ac:dyDescent="0.2">
      <c r="C193" s="173" t="str">
        <f t="shared" si="9"/>
        <v>TV Básico Plus Xview+ + Telefonía + 500 Megas SimetricoResidencial</v>
      </c>
      <c r="D193" s="72">
        <f t="shared" si="14"/>
        <v>45</v>
      </c>
      <c r="E193" s="77" t="str">
        <v>TV Básico Plus Xview+ + Telefonía + 500 Megas Simetrico</v>
      </c>
      <c r="F193" s="77" t="str">
        <f t="shared" si="10"/>
        <v>Residencial</v>
      </c>
      <c r="G193" s="77" t="str">
        <f t="shared" si="10"/>
        <v>STAR + Internet fijo + Telefonía fija</v>
      </c>
      <c r="H193" s="61" t="s">
        <v>144</v>
      </c>
      <c r="I193" s="84"/>
      <c r="J193" s="150">
        <f t="shared" ref="J193" si="99">IFERROR(J$10*J65,"")</f>
        <v>58.913900000000005</v>
      </c>
      <c r="K193" s="150">
        <f t="shared" ref="K193" si="100">IFERROR(K$10*K65,"")</f>
        <v>56.872199999999999</v>
      </c>
      <c r="L193" s="150"/>
      <c r="M193" s="150"/>
      <c r="N193" s="150"/>
      <c r="O193" s="150"/>
      <c r="R193" s="78"/>
    </row>
    <row r="194" spans="3:18" x14ac:dyDescent="0.2">
      <c r="C194" s="173" t="str">
        <f t="shared" si="9"/>
        <v>TV Básico Plus Xview+ + Telefonía + 60 MegasResidencial</v>
      </c>
      <c r="D194" s="72">
        <f t="shared" si="14"/>
        <v>46</v>
      </c>
      <c r="E194" s="77" t="str">
        <v>TV Básico Plus Xview+ + Telefonía + 60 Megas</v>
      </c>
      <c r="F194" s="77" t="str">
        <f t="shared" si="10"/>
        <v>Residencial</v>
      </c>
      <c r="G194" s="77" t="str">
        <f t="shared" si="10"/>
        <v>STAR + Internet fijo + Telefonía fija</v>
      </c>
      <c r="H194" s="61" t="s">
        <v>144</v>
      </c>
      <c r="I194" s="84"/>
      <c r="J194" s="150">
        <f t="shared" ref="J194" si="101">IFERROR(J$10*J66,"")</f>
        <v>37410.326500000003</v>
      </c>
      <c r="K194" s="150">
        <f t="shared" ref="K194" si="102">IFERROR(K$10*K66,"")</f>
        <v>36113.847000000002</v>
      </c>
      <c r="L194" s="150"/>
      <c r="M194" s="150"/>
      <c r="N194" s="150"/>
      <c r="O194" s="150"/>
      <c r="R194" s="78"/>
    </row>
    <row r="195" spans="3:18" x14ac:dyDescent="0.2">
      <c r="C195" s="173" t="str">
        <f t="shared" si="9"/>
        <v>TV Básico Plus Xview+ + Telefonía + 60 Megas SimetricoResidencial</v>
      </c>
      <c r="D195" s="72">
        <f t="shared" si="14"/>
        <v>47</v>
      </c>
      <c r="E195" s="77" t="str">
        <v>TV Básico Plus Xview+ + Telefonía + 60 Megas Simetrico</v>
      </c>
      <c r="F195" s="77" t="str">
        <f t="shared" si="10"/>
        <v>Residencial</v>
      </c>
      <c r="G195" s="77" t="str">
        <f t="shared" si="10"/>
        <v>STAR + Internet fijo + Telefonía fija</v>
      </c>
      <c r="H195" s="61" t="s">
        <v>144</v>
      </c>
      <c r="I195" s="84"/>
      <c r="J195" s="150">
        <f t="shared" ref="J195" si="103">IFERROR(J$10*J67,"")</f>
        <v>58.913900000000005</v>
      </c>
      <c r="K195" s="150">
        <f t="shared" ref="K195" si="104">IFERROR(K$10*K67,"")</f>
        <v>56.872199999999999</v>
      </c>
      <c r="L195" s="150"/>
      <c r="M195" s="150"/>
      <c r="N195" s="150"/>
      <c r="O195" s="150"/>
      <c r="R195" s="78"/>
    </row>
    <row r="196" spans="3:18" x14ac:dyDescent="0.2">
      <c r="C196" s="173" t="str">
        <f t="shared" si="9"/>
        <v>TV Básico Plus Xview+ Negocio + Telefonía Negocio + 100 Megas NegocioNegocio</v>
      </c>
      <c r="D196" s="72">
        <f t="shared" si="14"/>
        <v>48</v>
      </c>
      <c r="E196" s="77" t="str">
        <v>TV Básico Plus Xview+ Negocio + Telefonía Negocio + 100 Megas Negocio</v>
      </c>
      <c r="F196" s="77" t="str">
        <f t="shared" si="10"/>
        <v>Negocio</v>
      </c>
      <c r="G196" s="77" t="str">
        <f t="shared" si="10"/>
        <v>STAR + Internet fijo + Telefonía fija</v>
      </c>
      <c r="H196" s="61" t="s">
        <v>144</v>
      </c>
      <c r="I196" s="84"/>
      <c r="J196" s="150">
        <f t="shared" ref="J196" si="105">IFERROR(J$10*J68,"")</f>
        <v>1119.3641</v>
      </c>
      <c r="K196" s="150">
        <f t="shared" ref="K196" si="106">IFERROR(K$10*K68,"")</f>
        <v>1080.5717999999999</v>
      </c>
      <c r="L196" s="150"/>
      <c r="M196" s="150"/>
      <c r="N196" s="150"/>
      <c r="O196" s="150"/>
      <c r="R196" s="78"/>
    </row>
    <row r="197" spans="3:18" x14ac:dyDescent="0.2">
      <c r="C197" s="173" t="str">
        <f t="shared" si="9"/>
        <v>TV Básico Plus Xview+ Negocio + Telefonía Negocio + 100 Megas Simetrico NegocioNegocio</v>
      </c>
      <c r="D197" s="72">
        <f t="shared" si="14"/>
        <v>49</v>
      </c>
      <c r="E197" s="77" t="str">
        <v>TV Básico Plus Xview+ Negocio + Telefonía Negocio + 100 Megas Simetrico Negocio</v>
      </c>
      <c r="F197" s="77" t="str">
        <f t="shared" si="10"/>
        <v>Negocio</v>
      </c>
      <c r="G197" s="77" t="str">
        <f t="shared" si="10"/>
        <v>STAR + Internet fijo + Telefonía fija</v>
      </c>
      <c r="H197" s="61" t="s">
        <v>144</v>
      </c>
      <c r="I197" s="84"/>
      <c r="J197" s="150">
        <f t="shared" ref="J197" si="107">IFERROR(J$10*J69,"")</f>
        <v>58.913900000000005</v>
      </c>
      <c r="K197" s="150">
        <f t="shared" ref="K197" si="108">IFERROR(K$10*K69,"")</f>
        <v>56.872199999999999</v>
      </c>
      <c r="L197" s="150"/>
      <c r="M197" s="150"/>
      <c r="N197" s="150"/>
      <c r="O197" s="150"/>
      <c r="R197" s="78"/>
    </row>
    <row r="198" spans="3:18" x14ac:dyDescent="0.2">
      <c r="C198" s="173" t="str">
        <f t="shared" si="9"/>
        <v>TV Básico Plus Xview+ Negocio + Telefonía Negocio + 1000 Megas NegocioNegocio</v>
      </c>
      <c r="D198" s="72">
        <f t="shared" si="14"/>
        <v>50</v>
      </c>
      <c r="E198" s="77" t="str">
        <v>TV Básico Plus Xview+ Negocio + Telefonía Negocio + 1000 Megas Negocio</v>
      </c>
      <c r="F198" s="77" t="str">
        <f t="shared" si="10"/>
        <v>Negocio</v>
      </c>
      <c r="G198" s="77" t="str">
        <f t="shared" si="10"/>
        <v>STAR + Internet fijo + Telefonía fija</v>
      </c>
      <c r="H198" s="61" t="s">
        <v>144</v>
      </c>
      <c r="I198" s="84"/>
      <c r="J198" s="150">
        <f t="shared" ref="J198" si="109">IFERROR(J$10*J70,"")</f>
        <v>58.913900000000005</v>
      </c>
      <c r="K198" s="150">
        <f t="shared" ref="K198" si="110">IFERROR(K$10*K70,"")</f>
        <v>56.872199999999999</v>
      </c>
      <c r="L198" s="150"/>
      <c r="M198" s="150"/>
      <c r="N198" s="150"/>
      <c r="O198" s="150"/>
      <c r="R198" s="78"/>
    </row>
    <row r="199" spans="3:18" x14ac:dyDescent="0.2">
      <c r="C199" s="173" t="str">
        <f t="shared" si="9"/>
        <v>TV Básico Plus Xview+ Negocio + Telefonía Negocio + 250 Megas NegocioNegocio</v>
      </c>
      <c r="D199" s="72">
        <f t="shared" si="14"/>
        <v>51</v>
      </c>
      <c r="E199" s="77" t="str">
        <v>TV Básico Plus Xview+ Negocio + Telefonía Negocio + 250 Megas Negocio</v>
      </c>
      <c r="F199" s="77" t="str">
        <f t="shared" si="10"/>
        <v>Negocio</v>
      </c>
      <c r="G199" s="77" t="str">
        <f t="shared" si="10"/>
        <v>STAR + Internet fijo + Telefonía fija</v>
      </c>
      <c r="H199" s="61" t="s">
        <v>144</v>
      </c>
      <c r="I199" s="84"/>
      <c r="J199" s="150">
        <f t="shared" ref="J199" si="111">IFERROR(J$10*J71,"")</f>
        <v>1178.278</v>
      </c>
      <c r="K199" s="150">
        <f t="shared" ref="K199" si="112">IFERROR(K$10*K71,"")</f>
        <v>1137.444</v>
      </c>
      <c r="L199" s="150"/>
      <c r="M199" s="150"/>
      <c r="N199" s="150"/>
      <c r="O199" s="150"/>
      <c r="R199" s="78"/>
    </row>
    <row r="200" spans="3:18" x14ac:dyDescent="0.2">
      <c r="C200" s="173" t="str">
        <f t="shared" si="9"/>
        <v>TV Básico Plus Xview+ Negocio + Telefonía Negocio + 250 Megas Simetrico NegocioNegocio</v>
      </c>
      <c r="D200" s="72">
        <f t="shared" si="14"/>
        <v>52</v>
      </c>
      <c r="E200" s="77" t="str">
        <v>TV Básico Plus Xview+ Negocio + Telefonía Negocio + 250 Megas Simetrico Negocio</v>
      </c>
      <c r="F200" s="77" t="str">
        <f t="shared" si="10"/>
        <v>Negocio</v>
      </c>
      <c r="G200" s="77" t="str">
        <f t="shared" si="10"/>
        <v>STAR + Internet fijo + Telefonía fija</v>
      </c>
      <c r="H200" s="61" t="s">
        <v>144</v>
      </c>
      <c r="I200" s="84"/>
      <c r="J200" s="150">
        <f t="shared" ref="J200" si="113">IFERROR(J$10*J72,"")</f>
        <v>58.913900000000005</v>
      </c>
      <c r="K200" s="150">
        <f t="shared" ref="K200" si="114">IFERROR(K$10*K72,"")</f>
        <v>56.872199999999999</v>
      </c>
      <c r="L200" s="150"/>
      <c r="M200" s="150"/>
      <c r="N200" s="150"/>
      <c r="O200" s="150"/>
      <c r="R200" s="78"/>
    </row>
    <row r="201" spans="3:18" x14ac:dyDescent="0.2">
      <c r="C201" s="173" t="str">
        <f t="shared" si="9"/>
        <v>TV Básico Plus Xview+ Negocio + Telefonía Negocio + 500 Megas NegocioNegocio</v>
      </c>
      <c r="D201" s="72">
        <f t="shared" si="14"/>
        <v>53</v>
      </c>
      <c r="E201" s="77" t="str">
        <v>TV Básico Plus Xview+ Negocio + Telefonía Negocio + 500 Megas Negocio</v>
      </c>
      <c r="F201" s="77" t="str">
        <f t="shared" si="10"/>
        <v>Negocio</v>
      </c>
      <c r="G201" s="77" t="str">
        <f t="shared" si="10"/>
        <v>STAR + Internet fijo + Telefonía fija</v>
      </c>
      <c r="H201" s="61" t="s">
        <v>144</v>
      </c>
      <c r="I201" s="84"/>
      <c r="J201" s="150">
        <f t="shared" ref="J201" si="115">IFERROR(J$10*J73,"")</f>
        <v>589.13900000000001</v>
      </c>
      <c r="K201" s="150">
        <f t="shared" ref="K201" si="116">IFERROR(K$10*K73,"")</f>
        <v>568.72199999999998</v>
      </c>
      <c r="L201" s="150"/>
      <c r="M201" s="150"/>
      <c r="N201" s="150"/>
      <c r="O201" s="150"/>
      <c r="R201" s="78"/>
    </row>
    <row r="202" spans="3:18" x14ac:dyDescent="0.2">
      <c r="C202" s="173" t="str">
        <f t="shared" si="9"/>
        <v>TV Básico Plus Xview+ Negocio + Telefonía Negocio + 500 Megas Simetrico NegocioNegocio</v>
      </c>
      <c r="D202" s="72">
        <f t="shared" si="14"/>
        <v>54</v>
      </c>
      <c r="E202" s="77" t="str">
        <v>TV Básico Plus Xview+ Negocio + Telefonía Negocio + 500 Megas Simetrico Negocio</v>
      </c>
      <c r="F202" s="77" t="str">
        <f t="shared" si="10"/>
        <v>Negocio</v>
      </c>
      <c r="G202" s="77" t="str">
        <f t="shared" si="10"/>
        <v>STAR + Internet fijo + Telefonía fija</v>
      </c>
      <c r="H202" s="61" t="s">
        <v>144</v>
      </c>
      <c r="I202" s="84"/>
      <c r="J202" s="150">
        <f t="shared" ref="J202" si="117">IFERROR(J$10*J74,"")</f>
        <v>58.913900000000005</v>
      </c>
      <c r="K202" s="150">
        <f t="shared" ref="K202" si="118">IFERROR(K$10*K74,"")</f>
        <v>56.872199999999999</v>
      </c>
      <c r="L202" s="150"/>
      <c r="M202" s="150"/>
      <c r="N202" s="150"/>
      <c r="O202" s="150"/>
      <c r="R202" s="78"/>
    </row>
    <row r="203" spans="3:18" x14ac:dyDescent="0.2">
      <c r="C203" s="173" t="str">
        <f t="shared" si="9"/>
        <v>TV Básico Plus Xview+ Negocio + Telefonía Negocio + 60 Megas NegocioNegocio</v>
      </c>
      <c r="D203" s="72">
        <f t="shared" si="14"/>
        <v>55</v>
      </c>
      <c r="E203" s="77" t="str">
        <v>TV Básico Plus Xview+ Negocio + Telefonía Negocio + 60 Megas Negocio</v>
      </c>
      <c r="F203" s="77" t="str">
        <f t="shared" si="10"/>
        <v>Negocio</v>
      </c>
      <c r="G203" s="77" t="str">
        <f t="shared" si="10"/>
        <v>STAR + Internet fijo + Telefonía fija</v>
      </c>
      <c r="H203" s="61" t="s">
        <v>144</v>
      </c>
      <c r="I203" s="84"/>
      <c r="J203" s="150">
        <f t="shared" ref="J203" si="119">IFERROR(J$10*J75,"")</f>
        <v>1060.4502</v>
      </c>
      <c r="K203" s="150">
        <f t="shared" ref="K203" si="120">IFERROR(K$10*K75,"")</f>
        <v>1023.6995999999999</v>
      </c>
      <c r="L203" s="150"/>
      <c r="M203" s="150"/>
      <c r="N203" s="150"/>
      <c r="O203" s="150"/>
      <c r="R203" s="78"/>
    </row>
    <row r="204" spans="3:18" x14ac:dyDescent="0.2">
      <c r="C204" s="173" t="str">
        <f t="shared" si="9"/>
        <v>TV Básico Plus Xview+ Negocio + Telefonía Negocio + 60 Megas Simetrico NegocioNegocio</v>
      </c>
      <c r="D204" s="72">
        <f t="shared" si="14"/>
        <v>56</v>
      </c>
      <c r="E204" s="77" t="str">
        <v>TV Básico Plus Xview+ Negocio + Telefonía Negocio + 60 Megas Simetrico Negocio</v>
      </c>
      <c r="F204" s="77" t="str">
        <f t="shared" si="10"/>
        <v>Negocio</v>
      </c>
      <c r="G204" s="77" t="str">
        <f t="shared" si="10"/>
        <v>STAR + Internet fijo + Telefonía fija</v>
      </c>
      <c r="H204" s="61" t="s">
        <v>144</v>
      </c>
      <c r="I204" s="84"/>
      <c r="J204" s="150">
        <f t="shared" ref="J204" si="121">IFERROR(J$10*J76,"")</f>
        <v>58.913900000000005</v>
      </c>
      <c r="K204" s="150">
        <f t="shared" ref="K204" si="122">IFERROR(K$10*K76,"")</f>
        <v>56.872199999999999</v>
      </c>
      <c r="L204" s="150"/>
      <c r="M204" s="150"/>
      <c r="N204" s="150"/>
      <c r="O204" s="150"/>
      <c r="R204" s="78"/>
    </row>
    <row r="205" spans="3:18" x14ac:dyDescent="0.2">
      <c r="C205" s="173" t="str">
        <f t="shared" si="9"/>
        <v>TV ConectaResidencial</v>
      </c>
      <c r="D205" s="72">
        <f t="shared" si="14"/>
        <v>57</v>
      </c>
      <c r="E205" s="77" t="str">
        <v>TV Conecta</v>
      </c>
      <c r="F205" s="77" t="str">
        <f t="shared" si="10"/>
        <v>Residencial</v>
      </c>
      <c r="G205" s="77" t="str">
        <f t="shared" si="10"/>
        <v>Solo STAR</v>
      </c>
      <c r="H205" s="61" t="s">
        <v>144</v>
      </c>
      <c r="I205" s="84"/>
      <c r="J205" s="150">
        <f t="shared" ref="J205" si="123">IFERROR(J$10*J77,"")</f>
        <v>706.96679999999992</v>
      </c>
      <c r="K205" s="150">
        <f t="shared" ref="K205" si="124">IFERROR(K$10*K77,"")</f>
        <v>682.46639999999991</v>
      </c>
      <c r="L205" s="150"/>
      <c r="M205" s="150"/>
      <c r="N205" s="150"/>
      <c r="O205" s="150"/>
      <c r="R205" s="78"/>
    </row>
    <row r="206" spans="3:18" x14ac:dyDescent="0.2">
      <c r="C206" s="173" t="str">
        <f t="shared" si="9"/>
        <v>TV Conecta NegocioNegocio</v>
      </c>
      <c r="D206" s="72">
        <f t="shared" si="14"/>
        <v>58</v>
      </c>
      <c r="E206" s="77" t="str">
        <v>TV Conecta Negocio</v>
      </c>
      <c r="F206" s="77" t="str">
        <f t="shared" si="10"/>
        <v>Negocio</v>
      </c>
      <c r="G206" s="77" t="str">
        <f t="shared" si="10"/>
        <v>Solo STAR</v>
      </c>
      <c r="H206" s="61" t="s">
        <v>144</v>
      </c>
      <c r="I206" s="84"/>
      <c r="J206" s="150">
        <f t="shared" ref="J206" si="125">IFERROR(J$10*J78,"")</f>
        <v>58.913900000000005</v>
      </c>
      <c r="K206" s="150">
        <f t="shared" ref="K206" si="126">IFERROR(K$10*K78,"")</f>
        <v>56.872199999999999</v>
      </c>
      <c r="L206" s="150"/>
      <c r="M206" s="150"/>
      <c r="N206" s="150"/>
      <c r="O206" s="150"/>
      <c r="R206" s="78"/>
    </row>
    <row r="207" spans="3:18" x14ac:dyDescent="0.2">
      <c r="C207" s="173" t="str">
        <f t="shared" si="9"/>
        <v>TV Conecta + 100 MegasResidencial</v>
      </c>
      <c r="D207" s="72">
        <f t="shared" si="14"/>
        <v>59</v>
      </c>
      <c r="E207" s="77" t="str">
        <v>TV Conecta + 100 Megas</v>
      </c>
      <c r="F207" s="77" t="str">
        <f t="shared" si="10"/>
        <v>Residencial</v>
      </c>
      <c r="G207" s="77" t="str">
        <f t="shared" si="10"/>
        <v>STAR + Internet fijo</v>
      </c>
      <c r="H207" s="61" t="s">
        <v>144</v>
      </c>
      <c r="I207" s="84"/>
      <c r="J207" s="150">
        <f t="shared" ref="J207" si="127">IFERROR(J$10*J79,"")</f>
        <v>294.56950000000001</v>
      </c>
      <c r="K207" s="150">
        <f t="shared" ref="K207" si="128">IFERROR(K$10*K79,"")</f>
        <v>284.36099999999999</v>
      </c>
      <c r="L207" s="150"/>
      <c r="M207" s="150"/>
      <c r="N207" s="150"/>
      <c r="O207" s="150"/>
      <c r="R207" s="78"/>
    </row>
    <row r="208" spans="3:18" x14ac:dyDescent="0.2">
      <c r="C208" s="173" t="str">
        <f t="shared" si="9"/>
        <v>TV Conecta + 100 Megas SimetricoResidencial</v>
      </c>
      <c r="D208" s="72">
        <f t="shared" si="14"/>
        <v>60</v>
      </c>
      <c r="E208" s="77" t="str">
        <v>TV Conecta + 100 Megas Simetrico</v>
      </c>
      <c r="F208" s="77" t="str">
        <f t="shared" si="10"/>
        <v>Residencial</v>
      </c>
      <c r="G208" s="77" t="str">
        <f t="shared" si="10"/>
        <v>STAR + Internet fijo</v>
      </c>
      <c r="H208" s="61" t="s">
        <v>144</v>
      </c>
      <c r="I208" s="84"/>
      <c r="J208" s="150">
        <f t="shared" ref="J208" si="129">IFERROR(J$10*J80,"")</f>
        <v>0</v>
      </c>
      <c r="K208" s="150">
        <f t="shared" ref="K208" si="130">IFERROR(K$10*K80,"")</f>
        <v>0</v>
      </c>
      <c r="L208" s="150"/>
      <c r="M208" s="150"/>
      <c r="N208" s="150"/>
      <c r="O208" s="150"/>
      <c r="R208" s="78"/>
    </row>
    <row r="209" spans="3:18" x14ac:dyDescent="0.2">
      <c r="C209" s="173" t="str">
        <f t="shared" si="9"/>
        <v>TV Conecta + 1000 MegasResidencial</v>
      </c>
      <c r="D209" s="72">
        <f t="shared" si="14"/>
        <v>61</v>
      </c>
      <c r="E209" s="77" t="str">
        <v>TV Conecta + 1000 Megas</v>
      </c>
      <c r="F209" s="77" t="str">
        <f t="shared" si="10"/>
        <v>Residencial</v>
      </c>
      <c r="G209" s="77" t="str">
        <f t="shared" si="10"/>
        <v>STAR + Internet fijo</v>
      </c>
      <c r="H209" s="61" t="s">
        <v>144</v>
      </c>
      <c r="I209" s="84"/>
      <c r="J209" s="150">
        <f t="shared" ref="J209" si="131">IFERROR(J$10*J81,"")</f>
        <v>0</v>
      </c>
      <c r="K209" s="150">
        <f t="shared" ref="K209" si="132">IFERROR(K$10*K81,"")</f>
        <v>0</v>
      </c>
      <c r="L209" s="150"/>
      <c r="M209" s="150"/>
      <c r="N209" s="150"/>
      <c r="O209" s="150"/>
      <c r="R209" s="78"/>
    </row>
    <row r="210" spans="3:18" x14ac:dyDescent="0.2">
      <c r="C210" s="173" t="str">
        <f t="shared" si="9"/>
        <v>TV Conecta + 250 MegasResidencial</v>
      </c>
      <c r="D210" s="72">
        <f t="shared" si="14"/>
        <v>62</v>
      </c>
      <c r="E210" s="77" t="str">
        <v>TV Conecta + 250 Megas</v>
      </c>
      <c r="F210" s="77" t="str">
        <f t="shared" si="10"/>
        <v>Residencial</v>
      </c>
      <c r="G210" s="77" t="str">
        <f t="shared" si="10"/>
        <v>STAR + Internet fijo</v>
      </c>
      <c r="H210" s="61" t="s">
        <v>144</v>
      </c>
      <c r="I210" s="84"/>
      <c r="J210" s="150">
        <f t="shared" ref="J210" si="133">IFERROR(J$10*J82,"")</f>
        <v>7953.3765000000003</v>
      </c>
      <c r="K210" s="150">
        <f t="shared" ref="K210" si="134">IFERROR(K$10*K82,"")</f>
        <v>7677.7470000000003</v>
      </c>
      <c r="L210" s="150"/>
      <c r="M210" s="150"/>
      <c r="N210" s="150"/>
      <c r="O210" s="150"/>
      <c r="R210" s="78"/>
    </row>
    <row r="211" spans="3:18" x14ac:dyDescent="0.2">
      <c r="C211" s="173" t="str">
        <f t="shared" si="9"/>
        <v>TV Conecta + 250 Megas SimetricoResidencial</v>
      </c>
      <c r="D211" s="72">
        <f t="shared" si="14"/>
        <v>63</v>
      </c>
      <c r="E211" s="77" t="str">
        <v>TV Conecta + 250 Megas Simetrico</v>
      </c>
      <c r="F211" s="77" t="str">
        <f t="shared" si="10"/>
        <v>Residencial</v>
      </c>
      <c r="G211" s="77" t="str">
        <f t="shared" si="10"/>
        <v>STAR + Internet fijo</v>
      </c>
      <c r="H211" s="61" t="s">
        <v>144</v>
      </c>
      <c r="I211" s="84"/>
      <c r="J211" s="150">
        <f t="shared" ref="J211" si="135">IFERROR(J$10*J83,"")</f>
        <v>0</v>
      </c>
      <c r="K211" s="150">
        <f t="shared" ref="K211" si="136">IFERROR(K$10*K83,"")</f>
        <v>0</v>
      </c>
      <c r="L211" s="150"/>
      <c r="M211" s="150"/>
      <c r="N211" s="150"/>
      <c r="O211" s="150"/>
      <c r="R211" s="78"/>
    </row>
    <row r="212" spans="3:18" x14ac:dyDescent="0.2">
      <c r="C212" s="173" t="str">
        <f t="shared" si="9"/>
        <v>TV Conecta + 500 MegasResidencial</v>
      </c>
      <c r="D212" s="72">
        <f t="shared" si="14"/>
        <v>64</v>
      </c>
      <c r="E212" s="77" t="str">
        <v>TV Conecta + 500 Megas</v>
      </c>
      <c r="F212" s="77" t="str">
        <f t="shared" si="10"/>
        <v>Residencial</v>
      </c>
      <c r="G212" s="77" t="str">
        <f t="shared" si="10"/>
        <v>STAR + Internet fijo</v>
      </c>
      <c r="H212" s="61" t="s">
        <v>144</v>
      </c>
      <c r="I212" s="84"/>
      <c r="J212" s="150">
        <f t="shared" ref="J212" si="137">IFERROR(J$10*J84,"")</f>
        <v>117.82780000000001</v>
      </c>
      <c r="K212" s="150">
        <f t="shared" ref="K212" si="138">IFERROR(K$10*K84,"")</f>
        <v>113.7444</v>
      </c>
      <c r="L212" s="150"/>
      <c r="M212" s="150"/>
      <c r="N212" s="150"/>
      <c r="O212" s="150"/>
      <c r="R212" s="78"/>
    </row>
    <row r="213" spans="3:18" x14ac:dyDescent="0.2">
      <c r="C213" s="173" t="str">
        <f t="shared" si="9"/>
        <v>TV Conecta + 500 Megas SimetricoResidencial</v>
      </c>
      <c r="D213" s="72">
        <f t="shared" si="14"/>
        <v>65</v>
      </c>
      <c r="E213" s="77" t="str">
        <v>TV Conecta + 500 Megas Simetrico</v>
      </c>
      <c r="F213" s="77" t="str">
        <f t="shared" si="10"/>
        <v>Residencial</v>
      </c>
      <c r="G213" s="77" t="str">
        <f t="shared" si="10"/>
        <v>STAR + Internet fijo</v>
      </c>
      <c r="H213" s="61" t="s">
        <v>144</v>
      </c>
      <c r="I213" s="84"/>
      <c r="J213" s="150">
        <f t="shared" ref="J213" si="139">IFERROR(J$10*J85,"")</f>
        <v>0</v>
      </c>
      <c r="K213" s="150">
        <f t="shared" ref="K213" si="140">IFERROR(K$10*K85,"")</f>
        <v>0</v>
      </c>
      <c r="L213" s="150"/>
      <c r="M213" s="150"/>
      <c r="N213" s="150"/>
      <c r="O213" s="150"/>
      <c r="R213" s="78"/>
    </row>
    <row r="214" spans="3:18" x14ac:dyDescent="0.2">
      <c r="C214" s="173" t="str">
        <f t="shared" ref="C214:C261" si="141">E214&amp;F214</f>
        <v>TV Conecta + 60 MegasResidencial</v>
      </c>
      <c r="D214" s="72">
        <f t="shared" si="14"/>
        <v>66</v>
      </c>
      <c r="E214" s="77" t="str">
        <v>TV Conecta + 60 Megas</v>
      </c>
      <c r="F214" s="77" t="str">
        <f t="shared" ref="F214:G256" si="142">F86</f>
        <v>Residencial</v>
      </c>
      <c r="G214" s="77" t="str">
        <f t="shared" si="142"/>
        <v>STAR + Internet fijo</v>
      </c>
      <c r="H214" s="61" t="s">
        <v>144</v>
      </c>
      <c r="I214" s="84"/>
      <c r="J214" s="150">
        <f t="shared" ref="J214" si="143">IFERROR(J$10*J86,"")</f>
        <v>8895.9989000000005</v>
      </c>
      <c r="K214" s="150">
        <f t="shared" ref="K214" si="144">IFERROR(K$10*K86,"")</f>
        <v>8587.7021999999997</v>
      </c>
      <c r="L214" s="150"/>
      <c r="M214" s="150"/>
      <c r="N214" s="150"/>
      <c r="O214" s="150"/>
      <c r="R214" s="78"/>
    </row>
    <row r="215" spans="3:18" x14ac:dyDescent="0.2">
      <c r="C215" s="173" t="str">
        <f t="shared" si="141"/>
        <v>TV Conecta + 60 Megas SimetricoResidencial</v>
      </c>
      <c r="D215" s="72">
        <f>1+D214</f>
        <v>67</v>
      </c>
      <c r="E215" s="77" t="str">
        <v>TV Conecta + 60 Megas Simetrico</v>
      </c>
      <c r="F215" s="77" t="str">
        <f t="shared" si="142"/>
        <v>Residencial</v>
      </c>
      <c r="G215" s="77" t="str">
        <f t="shared" si="142"/>
        <v>STAR + Internet fijo</v>
      </c>
      <c r="H215" s="61" t="s">
        <v>144</v>
      </c>
      <c r="I215" s="84"/>
      <c r="J215" s="150">
        <f t="shared" ref="J215" si="145">IFERROR(J$10*J87,"")</f>
        <v>58.913900000000005</v>
      </c>
      <c r="K215" s="150">
        <f t="shared" ref="K215" si="146">IFERROR(K$10*K87,"")</f>
        <v>56.872199999999999</v>
      </c>
      <c r="L215" s="150"/>
      <c r="M215" s="150"/>
      <c r="N215" s="150"/>
      <c r="O215" s="150"/>
      <c r="R215" s="78"/>
    </row>
    <row r="216" spans="3:18" x14ac:dyDescent="0.2">
      <c r="C216" s="173" t="str">
        <f t="shared" si="141"/>
        <v>TV Conecta + HD + Telefonía + 100 MegasResidencial</v>
      </c>
      <c r="D216" s="72">
        <f>1+D215</f>
        <v>68</v>
      </c>
      <c r="E216" s="77" t="str">
        <v>TV Conecta + HD + Telefonía + 100 Megas</v>
      </c>
      <c r="F216" s="77" t="str">
        <f t="shared" si="142"/>
        <v>Residencial</v>
      </c>
      <c r="G216" s="77" t="str">
        <f t="shared" si="142"/>
        <v>STAR + Internet fijo + Telefonía fija</v>
      </c>
      <c r="H216" s="61" t="s">
        <v>144</v>
      </c>
      <c r="I216" s="84"/>
      <c r="J216" s="150">
        <f t="shared" ref="J216" si="147">IFERROR(J$10*J88,"")</f>
        <v>0</v>
      </c>
      <c r="K216" s="150">
        <f t="shared" ref="K216" si="148">IFERROR(K$10*K88,"")</f>
        <v>0</v>
      </c>
      <c r="L216" s="150"/>
      <c r="M216" s="150"/>
      <c r="N216" s="150"/>
      <c r="O216" s="150"/>
      <c r="R216" s="78"/>
    </row>
    <row r="217" spans="3:18" x14ac:dyDescent="0.2">
      <c r="C217" s="173" t="str">
        <f t="shared" si="141"/>
        <v>TV Conecta + HD + Telefonía + 100 Megas SimetricoResidencial</v>
      </c>
      <c r="D217" s="72">
        <f t="shared" ref="D217:D274" si="149">1+D216</f>
        <v>69</v>
      </c>
      <c r="E217" s="77" t="str">
        <v>TV Conecta + HD + Telefonía + 100 Megas Simetrico</v>
      </c>
      <c r="F217" s="77" t="str">
        <f t="shared" si="142"/>
        <v>Residencial</v>
      </c>
      <c r="G217" s="77" t="str">
        <f t="shared" si="142"/>
        <v>STAR + Internet fijo + Telefonía fija</v>
      </c>
      <c r="H217" s="61" t="s">
        <v>144</v>
      </c>
      <c r="I217" s="84"/>
      <c r="J217" s="150">
        <f t="shared" ref="J217" si="150">IFERROR(J$10*J89,"")</f>
        <v>0</v>
      </c>
      <c r="K217" s="150">
        <f t="shared" ref="K217" si="151">IFERROR(K$10*K89,"")</f>
        <v>0</v>
      </c>
      <c r="L217" s="150"/>
      <c r="M217" s="150"/>
      <c r="N217" s="150"/>
      <c r="O217" s="150"/>
      <c r="R217" s="78"/>
    </row>
    <row r="218" spans="3:18" x14ac:dyDescent="0.2">
      <c r="C218" s="173" t="str">
        <f t="shared" si="141"/>
        <v>TV Conecta + HD + Telefonía + 1000 MegasResidencial</v>
      </c>
      <c r="D218" s="72">
        <f t="shared" si="149"/>
        <v>70</v>
      </c>
      <c r="E218" s="77" t="str">
        <v>TV Conecta + HD + Telefonía + 1000 Megas</v>
      </c>
      <c r="F218" s="77" t="str">
        <f t="shared" si="142"/>
        <v>Residencial</v>
      </c>
      <c r="G218" s="77" t="str">
        <f t="shared" si="142"/>
        <v>STAR + Internet fijo + Telefonía fija</v>
      </c>
      <c r="H218" s="61" t="s">
        <v>144</v>
      </c>
      <c r="I218" s="84"/>
      <c r="J218" s="150">
        <f t="shared" ref="J218" si="152">IFERROR(J$10*J90,"")</f>
        <v>0</v>
      </c>
      <c r="K218" s="150">
        <f t="shared" ref="K218" si="153">IFERROR(K$10*K90,"")</f>
        <v>0</v>
      </c>
      <c r="L218" s="150"/>
      <c r="M218" s="150"/>
      <c r="N218" s="150"/>
      <c r="O218" s="150"/>
      <c r="R218" s="78"/>
    </row>
    <row r="219" spans="3:18" x14ac:dyDescent="0.2">
      <c r="C219" s="173" t="str">
        <f t="shared" si="141"/>
        <v>TV Conecta + HD + Telefonía + 250 MegasResidencial</v>
      </c>
      <c r="D219" s="72">
        <f t="shared" si="149"/>
        <v>71</v>
      </c>
      <c r="E219" s="77" t="str">
        <v>TV Conecta + HD + Telefonía + 250 Megas</v>
      </c>
      <c r="F219" s="77" t="str">
        <f t="shared" si="142"/>
        <v>Residencial</v>
      </c>
      <c r="G219" s="77" t="str">
        <f t="shared" si="142"/>
        <v>STAR + Internet fijo + Telefonía fija</v>
      </c>
      <c r="H219" s="61" t="s">
        <v>144</v>
      </c>
      <c r="I219" s="84"/>
      <c r="J219" s="150">
        <f t="shared" ref="J219" si="154">IFERROR(J$10*J91,"")</f>
        <v>0</v>
      </c>
      <c r="K219" s="150">
        <f t="shared" ref="K219" si="155">IFERROR(K$10*K91,"")</f>
        <v>0</v>
      </c>
      <c r="L219" s="150"/>
      <c r="M219" s="150"/>
      <c r="N219" s="150"/>
      <c r="O219" s="150"/>
      <c r="R219" s="78"/>
    </row>
    <row r="220" spans="3:18" x14ac:dyDescent="0.2">
      <c r="C220" s="173" t="str">
        <f t="shared" si="141"/>
        <v>TV Conecta + HD + Telefonía + 250 Megas SimetricoResidencial</v>
      </c>
      <c r="D220" s="144">
        <f t="shared" si="149"/>
        <v>72</v>
      </c>
      <c r="E220" s="77" t="str">
        <v>TV Conecta + HD + Telefonía + 250 Megas Simetrico</v>
      </c>
      <c r="F220" s="77" t="str">
        <f t="shared" si="142"/>
        <v>Residencial</v>
      </c>
      <c r="G220" s="77" t="str">
        <f t="shared" si="142"/>
        <v>STAR + Internet fijo + Telefonía fija</v>
      </c>
      <c r="H220" s="61" t="s">
        <v>144</v>
      </c>
      <c r="I220" s="84"/>
      <c r="J220" s="150">
        <f t="shared" ref="J220" si="156">IFERROR(J$10*J92,"")</f>
        <v>0</v>
      </c>
      <c r="K220" s="150">
        <f t="shared" ref="K220" si="157">IFERROR(K$10*K92,"")</f>
        <v>0</v>
      </c>
      <c r="L220" s="150"/>
      <c r="M220" s="150"/>
      <c r="N220" s="150"/>
      <c r="O220" s="150"/>
      <c r="R220" s="78"/>
    </row>
    <row r="221" spans="3:18" x14ac:dyDescent="0.2">
      <c r="C221" s="173" t="str">
        <f t="shared" si="141"/>
        <v>TV Conecta + HD + Telefonía + 500 MegasResidencial</v>
      </c>
      <c r="D221" s="144">
        <f t="shared" si="149"/>
        <v>73</v>
      </c>
      <c r="E221" s="77" t="str">
        <v>TV Conecta + HD + Telefonía + 500 Megas</v>
      </c>
      <c r="F221" s="77" t="str">
        <f t="shared" si="142"/>
        <v>Residencial</v>
      </c>
      <c r="G221" s="77" t="str">
        <f t="shared" si="142"/>
        <v>STAR + Internet fijo + Telefonía fija</v>
      </c>
      <c r="H221" s="61" t="s">
        <v>144</v>
      </c>
      <c r="I221" s="84"/>
      <c r="J221" s="150">
        <f t="shared" ref="J221" si="158">IFERROR(J$10*J93,"")</f>
        <v>0</v>
      </c>
      <c r="K221" s="150">
        <f t="shared" ref="K221" si="159">IFERROR(K$10*K93,"")</f>
        <v>0</v>
      </c>
      <c r="L221" s="150"/>
      <c r="M221" s="150"/>
      <c r="N221" s="150"/>
      <c r="O221" s="150"/>
      <c r="R221" s="78"/>
    </row>
    <row r="222" spans="3:18" x14ac:dyDescent="0.2">
      <c r="C222" s="173" t="str">
        <f t="shared" si="141"/>
        <v>TV Conecta + HD + Telefonía + 500 Megas SimetricoResidencial</v>
      </c>
      <c r="D222" s="144">
        <f t="shared" si="149"/>
        <v>74</v>
      </c>
      <c r="E222" s="77" t="str">
        <v>TV Conecta + HD + Telefonía + 500 Megas Simetrico</v>
      </c>
      <c r="F222" s="77" t="str">
        <f t="shared" si="142"/>
        <v>Residencial</v>
      </c>
      <c r="G222" s="77" t="str">
        <f t="shared" si="142"/>
        <v>STAR + Internet fijo + Telefonía fija</v>
      </c>
      <c r="H222" s="61" t="s">
        <v>144</v>
      </c>
      <c r="I222" s="84"/>
      <c r="J222" s="150">
        <f t="shared" ref="J222" si="160">IFERROR(J$10*J94,"")</f>
        <v>0</v>
      </c>
      <c r="K222" s="150">
        <f t="shared" ref="K222" si="161">IFERROR(K$10*K94,"")</f>
        <v>0</v>
      </c>
      <c r="L222" s="150"/>
      <c r="M222" s="150"/>
      <c r="N222" s="150"/>
      <c r="O222" s="150"/>
      <c r="R222" s="78"/>
    </row>
    <row r="223" spans="3:18" x14ac:dyDescent="0.2">
      <c r="C223" s="173" t="str">
        <f t="shared" si="141"/>
        <v>TV Conecta + HD + Telefonía + 60 MegasResidencial</v>
      </c>
      <c r="D223" s="144">
        <f t="shared" si="149"/>
        <v>75</v>
      </c>
      <c r="E223" s="77" t="str">
        <v>TV Conecta + HD + Telefonía + 60 Megas</v>
      </c>
      <c r="F223" s="77" t="str">
        <f t="shared" si="142"/>
        <v>Residencial</v>
      </c>
      <c r="G223" s="77" t="str">
        <f t="shared" si="142"/>
        <v>STAR + Internet fijo + Telefonía fija</v>
      </c>
      <c r="H223" s="61" t="s">
        <v>144</v>
      </c>
      <c r="I223" s="84"/>
      <c r="J223" s="150">
        <f t="shared" ref="J223" si="162">IFERROR(J$10*J95,"")</f>
        <v>0</v>
      </c>
      <c r="K223" s="150">
        <f t="shared" ref="K223" si="163">IFERROR(K$10*K95,"")</f>
        <v>0</v>
      </c>
      <c r="L223" s="150"/>
      <c r="M223" s="150"/>
      <c r="N223" s="150"/>
      <c r="O223" s="150"/>
      <c r="R223" s="78"/>
    </row>
    <row r="224" spans="3:18" x14ac:dyDescent="0.2">
      <c r="C224" s="173" t="str">
        <f t="shared" si="141"/>
        <v>TV Conecta + HD + Telefonía + 60 Megas SimetricoResidencial</v>
      </c>
      <c r="D224" s="144">
        <f t="shared" si="149"/>
        <v>76</v>
      </c>
      <c r="E224" s="77" t="str">
        <v>TV Conecta + HD + Telefonía + 60 Megas Simetrico</v>
      </c>
      <c r="F224" s="77" t="str">
        <f t="shared" si="142"/>
        <v>Residencial</v>
      </c>
      <c r="G224" s="77" t="str">
        <f t="shared" si="142"/>
        <v>STAR + Internet fijo + Telefonía fija</v>
      </c>
      <c r="H224" s="61" t="s">
        <v>144</v>
      </c>
      <c r="I224" s="84"/>
      <c r="J224" s="150">
        <f t="shared" ref="J224" si="164">IFERROR(J$10*J96,"")</f>
        <v>0</v>
      </c>
      <c r="K224" s="150">
        <f t="shared" ref="K224" si="165">IFERROR(K$10*K96,"")</f>
        <v>0</v>
      </c>
      <c r="L224" s="150"/>
      <c r="M224" s="150"/>
      <c r="N224" s="150"/>
      <c r="O224" s="150"/>
      <c r="R224" s="78"/>
    </row>
    <row r="225" spans="3:18" x14ac:dyDescent="0.2">
      <c r="C225" s="173" t="str">
        <f t="shared" si="141"/>
        <v>TV Conecta + HD Negocio + Telefonía Negocio + 100 Megas NegocioNegocio</v>
      </c>
      <c r="D225" s="144">
        <f t="shared" si="149"/>
        <v>77</v>
      </c>
      <c r="E225" s="77" t="str">
        <v>TV Conecta + HD Negocio + Telefonía Negocio + 100 Megas Negocio</v>
      </c>
      <c r="F225" s="77" t="str">
        <f t="shared" si="142"/>
        <v>Negocio</v>
      </c>
      <c r="G225" s="77" t="str">
        <f t="shared" si="142"/>
        <v>STAR + Internet fijo + Telefonía fija</v>
      </c>
      <c r="H225" s="61" t="s">
        <v>144</v>
      </c>
      <c r="I225" s="84"/>
      <c r="J225" s="150">
        <f t="shared" ref="J225" si="166">IFERROR(J$10*J97,"")</f>
        <v>0</v>
      </c>
      <c r="K225" s="150">
        <f t="shared" ref="K225" si="167">IFERROR(K$10*K97,"")</f>
        <v>0</v>
      </c>
      <c r="L225" s="150"/>
      <c r="M225" s="150"/>
      <c r="N225" s="150"/>
      <c r="O225" s="150"/>
      <c r="R225" s="78"/>
    </row>
    <row r="226" spans="3:18" x14ac:dyDescent="0.2">
      <c r="C226" s="173" t="str">
        <f t="shared" si="141"/>
        <v>TV Conecta + HD Negocio + Telefonía Negocio + 100 Megas Simetrico NegocioNegocio</v>
      </c>
      <c r="D226" s="144">
        <f t="shared" si="149"/>
        <v>78</v>
      </c>
      <c r="E226" s="77" t="str">
        <v>TV Conecta + HD Negocio + Telefonía Negocio + 100 Megas Simetrico Negocio</v>
      </c>
      <c r="F226" s="77" t="str">
        <f t="shared" si="142"/>
        <v>Negocio</v>
      </c>
      <c r="G226" s="77" t="str">
        <f t="shared" si="142"/>
        <v>STAR + Internet fijo + Telefonía fija</v>
      </c>
      <c r="H226" s="61" t="s">
        <v>144</v>
      </c>
      <c r="I226" s="84"/>
      <c r="J226" s="150">
        <f t="shared" ref="J226" si="168">IFERROR(J$10*J98,"")</f>
        <v>0</v>
      </c>
      <c r="K226" s="150">
        <f t="shared" ref="K226" si="169">IFERROR(K$10*K98,"")</f>
        <v>0</v>
      </c>
      <c r="L226" s="150"/>
      <c r="M226" s="150"/>
      <c r="N226" s="150"/>
      <c r="O226" s="150"/>
      <c r="R226" s="78"/>
    </row>
    <row r="227" spans="3:18" x14ac:dyDescent="0.2">
      <c r="C227" s="173" t="str">
        <f t="shared" si="141"/>
        <v>TV Conecta + HD Negocio + Telefonía Negocio + 1000 Megas NegocioNegocio</v>
      </c>
      <c r="D227" s="144">
        <f t="shared" si="149"/>
        <v>79</v>
      </c>
      <c r="E227" s="77" t="str">
        <v>TV Conecta + HD Negocio + Telefonía Negocio + 1000 Megas Negocio</v>
      </c>
      <c r="F227" s="77" t="str">
        <f t="shared" si="142"/>
        <v>Negocio</v>
      </c>
      <c r="G227" s="77" t="str">
        <f t="shared" si="142"/>
        <v>STAR + Internet fijo + Telefonía fija</v>
      </c>
      <c r="H227" s="61" t="s">
        <v>144</v>
      </c>
      <c r="I227" s="84"/>
      <c r="J227" s="150">
        <f t="shared" ref="J227" si="170">IFERROR(J$10*J99,"")</f>
        <v>0</v>
      </c>
      <c r="K227" s="150">
        <f t="shared" ref="K227" si="171">IFERROR(K$10*K99,"")</f>
        <v>0</v>
      </c>
      <c r="L227" s="150"/>
      <c r="M227" s="150"/>
      <c r="N227" s="150"/>
      <c r="O227" s="150"/>
      <c r="R227" s="78"/>
    </row>
    <row r="228" spans="3:18" x14ac:dyDescent="0.2">
      <c r="C228" s="173" t="str">
        <f t="shared" si="141"/>
        <v>TV Conecta + HD Negocio + Telefonía Negocio + 250 Megas NegocioNegocio</v>
      </c>
      <c r="D228" s="144">
        <f t="shared" si="149"/>
        <v>80</v>
      </c>
      <c r="E228" s="77" t="str">
        <v>TV Conecta + HD Negocio + Telefonía Negocio + 250 Megas Negocio</v>
      </c>
      <c r="F228" s="77" t="str">
        <f t="shared" si="142"/>
        <v>Negocio</v>
      </c>
      <c r="G228" s="77" t="str">
        <f t="shared" si="142"/>
        <v>STAR + Internet fijo + Telefonía fija</v>
      </c>
      <c r="H228" s="61" t="s">
        <v>144</v>
      </c>
      <c r="I228" s="84"/>
      <c r="J228" s="150">
        <f t="shared" ref="J228" si="172">IFERROR(J$10*J100,"")</f>
        <v>0</v>
      </c>
      <c r="K228" s="150">
        <f t="shared" ref="K228" si="173">IFERROR(K$10*K100,"")</f>
        <v>0</v>
      </c>
      <c r="L228" s="150"/>
      <c r="M228" s="150"/>
      <c r="N228" s="150"/>
      <c r="O228" s="150"/>
      <c r="R228" s="78"/>
    </row>
    <row r="229" spans="3:18" x14ac:dyDescent="0.2">
      <c r="C229" s="173" t="str">
        <f t="shared" si="141"/>
        <v>TV Conecta + HD Negocio + Telefonía Negocio + 250 Megas Simetrico NegocioNegocio</v>
      </c>
      <c r="D229" s="144">
        <f t="shared" si="149"/>
        <v>81</v>
      </c>
      <c r="E229" s="77" t="str">
        <v>TV Conecta + HD Negocio + Telefonía Negocio + 250 Megas Simetrico Negocio</v>
      </c>
      <c r="F229" s="77" t="str">
        <f t="shared" si="142"/>
        <v>Negocio</v>
      </c>
      <c r="G229" s="77" t="str">
        <f t="shared" si="142"/>
        <v>STAR + Internet fijo + Telefonía fija</v>
      </c>
      <c r="H229" s="61" t="s">
        <v>144</v>
      </c>
      <c r="I229" s="84"/>
      <c r="J229" s="150">
        <f t="shared" ref="J229" si="174">IFERROR(J$10*J101,"")</f>
        <v>0</v>
      </c>
      <c r="K229" s="150">
        <f t="shared" ref="K229" si="175">IFERROR(K$10*K101,"")</f>
        <v>0</v>
      </c>
      <c r="L229" s="150"/>
      <c r="M229" s="150"/>
      <c r="N229" s="150"/>
      <c r="O229" s="150"/>
      <c r="R229" s="78"/>
    </row>
    <row r="230" spans="3:18" x14ac:dyDescent="0.2">
      <c r="C230" s="173" t="str">
        <f t="shared" si="141"/>
        <v>TV Conecta + HD Negocio + Telefonía Negocio + 500 Megas NegocioNegocio</v>
      </c>
      <c r="D230" s="144">
        <f t="shared" si="149"/>
        <v>82</v>
      </c>
      <c r="E230" s="77" t="str">
        <v>TV Conecta + HD Negocio + Telefonía Negocio + 500 Megas Negocio</v>
      </c>
      <c r="F230" s="77" t="str">
        <f t="shared" si="142"/>
        <v>Negocio</v>
      </c>
      <c r="G230" s="77" t="str">
        <f t="shared" si="142"/>
        <v>STAR + Internet fijo + Telefonía fija</v>
      </c>
      <c r="H230" s="61" t="s">
        <v>144</v>
      </c>
      <c r="I230" s="84"/>
      <c r="J230" s="150">
        <f t="shared" ref="J230" si="176">IFERROR(J$10*J102,"")</f>
        <v>0</v>
      </c>
      <c r="K230" s="150">
        <f t="shared" ref="K230" si="177">IFERROR(K$10*K102,"")</f>
        <v>0</v>
      </c>
      <c r="L230" s="150"/>
      <c r="M230" s="150"/>
      <c r="N230" s="150"/>
      <c r="O230" s="150"/>
      <c r="R230" s="78"/>
    </row>
    <row r="231" spans="3:18" x14ac:dyDescent="0.2">
      <c r="C231" s="173" t="str">
        <f t="shared" si="141"/>
        <v>TV Conecta + HD Negocio + Telefonía Negocio + 500 Megas Simetrico NegocioNegocio</v>
      </c>
      <c r="D231" s="144">
        <f t="shared" si="149"/>
        <v>83</v>
      </c>
      <c r="E231" s="77" t="str">
        <v>TV Conecta + HD Negocio + Telefonía Negocio + 500 Megas Simetrico Negocio</v>
      </c>
      <c r="F231" s="77" t="str">
        <f t="shared" si="142"/>
        <v>Negocio</v>
      </c>
      <c r="G231" s="77" t="str">
        <f t="shared" si="142"/>
        <v>STAR + Internet fijo + Telefonía fija</v>
      </c>
      <c r="H231" s="61" t="s">
        <v>144</v>
      </c>
      <c r="I231" s="84"/>
      <c r="J231" s="150">
        <f t="shared" ref="J231" si="178">IFERROR(J$10*J103,"")</f>
        <v>0</v>
      </c>
      <c r="K231" s="150">
        <f t="shared" ref="K231" si="179">IFERROR(K$10*K103,"")</f>
        <v>0</v>
      </c>
      <c r="L231" s="150"/>
      <c r="M231" s="150"/>
      <c r="N231" s="150"/>
      <c r="O231" s="150"/>
      <c r="R231" s="78"/>
    </row>
    <row r="232" spans="3:18" x14ac:dyDescent="0.2">
      <c r="C232" s="173" t="str">
        <f t="shared" si="141"/>
        <v>TV Conecta + HD Negocio + Telefonía Negocio + 60 Megas NegocioNegocio</v>
      </c>
      <c r="D232" s="144">
        <f t="shared" si="149"/>
        <v>84</v>
      </c>
      <c r="E232" s="77" t="str">
        <v>TV Conecta + HD Negocio + Telefonía Negocio + 60 Megas Negocio</v>
      </c>
      <c r="F232" s="77" t="str">
        <f t="shared" si="142"/>
        <v>Negocio</v>
      </c>
      <c r="G232" s="77" t="str">
        <f t="shared" si="142"/>
        <v>STAR + Internet fijo + Telefonía fija</v>
      </c>
      <c r="H232" s="61" t="s">
        <v>144</v>
      </c>
      <c r="I232" s="84"/>
      <c r="J232" s="150">
        <f t="shared" ref="J232" si="180">IFERROR(J$10*J104,"")</f>
        <v>0</v>
      </c>
      <c r="K232" s="150">
        <f t="shared" ref="K232" si="181">IFERROR(K$10*K104,"")</f>
        <v>0</v>
      </c>
      <c r="L232" s="150"/>
      <c r="M232" s="150"/>
      <c r="N232" s="150"/>
      <c r="O232" s="150"/>
      <c r="R232" s="78"/>
    </row>
    <row r="233" spans="3:18" x14ac:dyDescent="0.2">
      <c r="C233" s="173" t="str">
        <f t="shared" si="141"/>
        <v>TV Conecta + HD Negocio + Telefonía Negocio + 60 Megas Simetrico NegocioNegocio</v>
      </c>
      <c r="D233" s="144">
        <f t="shared" si="149"/>
        <v>85</v>
      </c>
      <c r="E233" s="77" t="str">
        <v>TV Conecta + HD Negocio + Telefonía Negocio + 60 Megas Simetrico Negocio</v>
      </c>
      <c r="F233" s="77" t="str">
        <f t="shared" si="142"/>
        <v>Negocio</v>
      </c>
      <c r="G233" s="77" t="str">
        <f t="shared" si="142"/>
        <v>STAR + Internet fijo + Telefonía fija</v>
      </c>
      <c r="H233" s="61" t="s">
        <v>144</v>
      </c>
      <c r="I233" s="84"/>
      <c r="J233" s="150">
        <f t="shared" ref="J233" si="182">IFERROR(J$10*J105,"")</f>
        <v>0</v>
      </c>
      <c r="K233" s="150">
        <f t="shared" ref="K233" si="183">IFERROR(K$10*K105,"")</f>
        <v>0</v>
      </c>
      <c r="L233" s="150"/>
      <c r="M233" s="150"/>
      <c r="N233" s="150"/>
      <c r="O233" s="150"/>
      <c r="R233" s="78"/>
    </row>
    <row r="234" spans="3:18" x14ac:dyDescent="0.2">
      <c r="C234" s="173" t="str">
        <f t="shared" si="141"/>
        <v>TV Conecta Negocio + 100 Megas NegocioNegocio</v>
      </c>
      <c r="D234" s="144">
        <f t="shared" si="149"/>
        <v>86</v>
      </c>
      <c r="E234" s="77" t="str">
        <v>TV Conecta Negocio + 100 Megas Negocio</v>
      </c>
      <c r="F234" s="77" t="str">
        <f t="shared" si="142"/>
        <v>Negocio</v>
      </c>
      <c r="G234" s="77" t="str">
        <f t="shared" si="142"/>
        <v>STAR + Internet fijo</v>
      </c>
      <c r="H234" s="61" t="s">
        <v>144</v>
      </c>
      <c r="I234" s="84"/>
      <c r="J234" s="150">
        <f t="shared" ref="J234" si="184">IFERROR(J$10*J106,"")</f>
        <v>117.82780000000001</v>
      </c>
      <c r="K234" s="150">
        <f t="shared" ref="K234" si="185">IFERROR(K$10*K106,"")</f>
        <v>113.7444</v>
      </c>
      <c r="L234" s="150"/>
      <c r="M234" s="150"/>
      <c r="N234" s="150"/>
      <c r="O234" s="150"/>
      <c r="R234" s="78"/>
    </row>
    <row r="235" spans="3:18" x14ac:dyDescent="0.2">
      <c r="C235" s="173" t="str">
        <f t="shared" si="141"/>
        <v>TV Conecta Negocio + 100 Megas Simetrico NegocioNegocio</v>
      </c>
      <c r="D235" s="144">
        <f t="shared" si="149"/>
        <v>87</v>
      </c>
      <c r="E235" s="77" t="str">
        <v>TV Conecta Negocio + 100 Megas Simetrico Negocio</v>
      </c>
      <c r="F235" s="77" t="str">
        <f t="shared" si="142"/>
        <v>Negocio</v>
      </c>
      <c r="G235" s="77" t="str">
        <f t="shared" si="142"/>
        <v>STAR + Internet fijo</v>
      </c>
      <c r="H235" s="61" t="s">
        <v>144</v>
      </c>
      <c r="I235" s="84"/>
      <c r="J235" s="150">
        <f t="shared" ref="J235" si="186">IFERROR(J$10*J107,"")</f>
        <v>0</v>
      </c>
      <c r="K235" s="150">
        <f t="shared" ref="K235" si="187">IFERROR(K$10*K107,"")</f>
        <v>0</v>
      </c>
      <c r="L235" s="150"/>
      <c r="M235" s="150"/>
      <c r="N235" s="150"/>
      <c r="O235" s="150"/>
      <c r="R235" s="78"/>
    </row>
    <row r="236" spans="3:18" x14ac:dyDescent="0.2">
      <c r="C236" s="173" t="str">
        <f t="shared" si="141"/>
        <v>TV Conecta Negocio + 1000 Megas NegocioNegocio</v>
      </c>
      <c r="D236" s="144">
        <f t="shared" si="149"/>
        <v>88</v>
      </c>
      <c r="E236" s="77" t="str">
        <v>TV Conecta Negocio + 1000 Megas Negocio</v>
      </c>
      <c r="F236" s="77" t="str">
        <f t="shared" si="142"/>
        <v>Negocio</v>
      </c>
      <c r="G236" s="77" t="str">
        <f t="shared" si="142"/>
        <v>STAR + Internet fijo</v>
      </c>
      <c r="H236" s="61" t="s">
        <v>144</v>
      </c>
      <c r="I236" s="84"/>
      <c r="J236" s="150">
        <f t="shared" ref="J236" si="188">IFERROR(J$10*J108,"")</f>
        <v>58.913900000000005</v>
      </c>
      <c r="K236" s="150">
        <f t="shared" ref="K236" si="189">IFERROR(K$10*K108,"")</f>
        <v>56.872199999999999</v>
      </c>
      <c r="L236" s="150"/>
      <c r="M236" s="150"/>
      <c r="N236" s="150"/>
      <c r="O236" s="150"/>
      <c r="R236" s="78"/>
    </row>
    <row r="237" spans="3:18" x14ac:dyDescent="0.2">
      <c r="C237" s="173" t="str">
        <f t="shared" si="141"/>
        <v>TV Conecta Negocio + 250 Megas NegocioNegocio</v>
      </c>
      <c r="D237" s="144">
        <f t="shared" si="149"/>
        <v>89</v>
      </c>
      <c r="E237" s="77" t="str">
        <v>TV Conecta Negocio + 250 Megas Negocio</v>
      </c>
      <c r="F237" s="77" t="str">
        <f t="shared" si="142"/>
        <v>Negocio</v>
      </c>
      <c r="G237" s="77" t="str">
        <f t="shared" si="142"/>
        <v>STAR + Internet fijo</v>
      </c>
      <c r="H237" s="61" t="s">
        <v>144</v>
      </c>
      <c r="I237" s="84"/>
      <c r="J237" s="150">
        <f t="shared" ref="J237" si="190">IFERROR(J$10*J109,"")</f>
        <v>1119.3641</v>
      </c>
      <c r="K237" s="150">
        <f t="shared" ref="K237" si="191">IFERROR(K$10*K109,"")</f>
        <v>1080.5717999999999</v>
      </c>
      <c r="L237" s="150"/>
      <c r="M237" s="150"/>
      <c r="N237" s="150"/>
      <c r="O237" s="150"/>
      <c r="R237" s="78"/>
    </row>
    <row r="238" spans="3:18" x14ac:dyDescent="0.2">
      <c r="C238" s="173" t="str">
        <f t="shared" si="141"/>
        <v>TV Conecta Negocio + 250 Megas Simetrico NegocioNegocio</v>
      </c>
      <c r="D238" s="144">
        <f t="shared" si="149"/>
        <v>90</v>
      </c>
      <c r="E238" s="77" t="str">
        <v>TV Conecta Negocio + 250 Megas Simetrico Negocio</v>
      </c>
      <c r="F238" s="77" t="str">
        <f t="shared" si="142"/>
        <v>Negocio</v>
      </c>
      <c r="G238" s="77" t="str">
        <f t="shared" si="142"/>
        <v>STAR + Internet fijo</v>
      </c>
      <c r="H238" s="61" t="s">
        <v>144</v>
      </c>
      <c r="I238" s="84"/>
      <c r="J238" s="150">
        <f t="shared" ref="J238" si="192">IFERROR(J$10*J110,"")</f>
        <v>0</v>
      </c>
      <c r="K238" s="150">
        <f t="shared" ref="K238" si="193">IFERROR(K$10*K110,"")</f>
        <v>0</v>
      </c>
      <c r="L238" s="150"/>
      <c r="M238" s="150"/>
      <c r="N238" s="150"/>
      <c r="O238" s="150"/>
      <c r="R238" s="78"/>
    </row>
    <row r="239" spans="3:18" x14ac:dyDescent="0.2">
      <c r="C239" s="173" t="str">
        <f t="shared" si="141"/>
        <v>TV Conecta Negocio + 500 Megas NegocioNegocio</v>
      </c>
      <c r="D239" s="144">
        <f t="shared" si="149"/>
        <v>91</v>
      </c>
      <c r="E239" s="77" t="str">
        <v>TV Conecta Negocio + 500 Megas Negocio</v>
      </c>
      <c r="F239" s="77" t="str">
        <f t="shared" si="142"/>
        <v>Negocio</v>
      </c>
      <c r="G239" s="77" t="str">
        <f t="shared" si="142"/>
        <v>STAR + Internet fijo</v>
      </c>
      <c r="H239" s="61" t="s">
        <v>144</v>
      </c>
      <c r="I239" s="84"/>
      <c r="J239" s="150">
        <f t="shared" ref="J239" si="194">IFERROR(J$10*J111,"")</f>
        <v>58.913900000000005</v>
      </c>
      <c r="K239" s="150">
        <f t="shared" ref="K239" si="195">IFERROR(K$10*K111,"")</f>
        <v>56.872199999999999</v>
      </c>
      <c r="L239" s="150"/>
      <c r="M239" s="150"/>
      <c r="N239" s="150"/>
      <c r="O239" s="150"/>
      <c r="R239" s="78"/>
    </row>
    <row r="240" spans="3:18" x14ac:dyDescent="0.2">
      <c r="C240" s="173" t="str">
        <f t="shared" si="141"/>
        <v>TV Conecta Negocio + 500 Megas Simetrico NegocioNegocio</v>
      </c>
      <c r="D240" s="144">
        <f t="shared" si="149"/>
        <v>92</v>
      </c>
      <c r="E240" s="77" t="str">
        <v>TV Conecta Negocio + 500 Megas Simetrico Negocio</v>
      </c>
      <c r="F240" s="77" t="str">
        <f t="shared" si="142"/>
        <v>Negocio</v>
      </c>
      <c r="G240" s="77" t="str">
        <f t="shared" si="142"/>
        <v>STAR + Internet fijo</v>
      </c>
      <c r="H240" s="61" t="s">
        <v>144</v>
      </c>
      <c r="I240" s="84"/>
      <c r="J240" s="150">
        <f t="shared" ref="J240" si="196">IFERROR(J$10*J112,"")</f>
        <v>0</v>
      </c>
      <c r="K240" s="150">
        <f t="shared" ref="K240" si="197">IFERROR(K$10*K112,"")</f>
        <v>0</v>
      </c>
      <c r="L240" s="150"/>
      <c r="M240" s="150"/>
      <c r="N240" s="150"/>
      <c r="O240" s="150"/>
      <c r="R240" s="78"/>
    </row>
    <row r="241" spans="3:18" x14ac:dyDescent="0.2">
      <c r="C241" s="173" t="str">
        <f t="shared" si="141"/>
        <v>TV Conecta Negocio + 60 Megas NegocioNegocio</v>
      </c>
      <c r="D241" s="144">
        <f t="shared" si="149"/>
        <v>93</v>
      </c>
      <c r="E241" s="77" t="str">
        <v>TV Conecta Negocio + 60 Megas Negocio</v>
      </c>
      <c r="F241" s="77" t="str">
        <f t="shared" si="142"/>
        <v>Negocio</v>
      </c>
      <c r="G241" s="77" t="str">
        <f t="shared" si="142"/>
        <v>STAR + Internet fijo</v>
      </c>
      <c r="H241" s="61" t="s">
        <v>144</v>
      </c>
      <c r="I241" s="84"/>
      <c r="J241" s="150">
        <f t="shared" ref="J241" si="198">IFERROR(J$10*J113,"")</f>
        <v>4123.973</v>
      </c>
      <c r="K241" s="150">
        <f t="shared" ref="K241" si="199">IFERROR(K$10*K113,"")</f>
        <v>3981.0540000000001</v>
      </c>
      <c r="L241" s="150"/>
      <c r="M241" s="150"/>
      <c r="N241" s="150"/>
      <c r="O241" s="150"/>
      <c r="R241" s="78"/>
    </row>
    <row r="242" spans="3:18" x14ac:dyDescent="0.2">
      <c r="C242" s="173" t="str">
        <f t="shared" si="141"/>
        <v>TV Conecta Negocio + 60 Megas Simetrico NegocioNegocio</v>
      </c>
      <c r="D242" s="144">
        <f t="shared" si="149"/>
        <v>94</v>
      </c>
      <c r="E242" s="77" t="str">
        <v>TV Conecta Negocio + 60 Megas Simetrico Negocio</v>
      </c>
      <c r="F242" s="77" t="str">
        <f t="shared" si="142"/>
        <v>Negocio</v>
      </c>
      <c r="G242" s="77" t="str">
        <f t="shared" si="142"/>
        <v>STAR + Internet fijo</v>
      </c>
      <c r="H242" s="61" t="s">
        <v>144</v>
      </c>
      <c r="I242" s="84"/>
      <c r="J242" s="150">
        <f t="shared" ref="J242" si="200">IFERROR(J$10*J114,"")</f>
        <v>0</v>
      </c>
      <c r="K242" s="150">
        <f t="shared" ref="K242" si="201">IFERROR(K$10*K114,"")</f>
        <v>0</v>
      </c>
      <c r="L242" s="150"/>
      <c r="M242" s="150"/>
      <c r="N242" s="150"/>
      <c r="O242" s="150"/>
      <c r="R242" s="78"/>
    </row>
    <row r="243" spans="3:18" x14ac:dyDescent="0.2">
      <c r="C243" s="173" t="str">
        <f t="shared" si="141"/>
        <v>TV Conecta Xview+ + Telefonía + 100 MegasResidencial</v>
      </c>
      <c r="D243" s="144">
        <f t="shared" si="149"/>
        <v>95</v>
      </c>
      <c r="E243" s="77" t="str">
        <v>TV Conecta Xview+ + Telefonía + 100 Megas</v>
      </c>
      <c r="F243" s="77" t="str">
        <f t="shared" si="142"/>
        <v>Residencial</v>
      </c>
      <c r="G243" s="77" t="str">
        <f t="shared" si="142"/>
        <v>STAR + Internet fijo + Telefonía fija</v>
      </c>
      <c r="H243" s="61" t="s">
        <v>144</v>
      </c>
      <c r="I243" s="84"/>
      <c r="J243" s="150">
        <f t="shared" ref="J243" si="202">IFERROR(J$10*J115,"")</f>
        <v>145870.81639999998</v>
      </c>
      <c r="K243" s="150">
        <f t="shared" ref="K243" si="203">IFERROR(K$10*K115,"")</f>
        <v>140815.56719999999</v>
      </c>
      <c r="L243" s="150"/>
      <c r="M243" s="150"/>
      <c r="N243" s="150"/>
      <c r="O243" s="150"/>
      <c r="R243" s="78"/>
    </row>
    <row r="244" spans="3:18" x14ac:dyDescent="0.2">
      <c r="C244" s="173" t="str">
        <f t="shared" si="141"/>
        <v>TV Conecta Xview+ + Telefonía + 100 Megas SimetricoResidencial</v>
      </c>
      <c r="D244" s="144">
        <f t="shared" si="149"/>
        <v>96</v>
      </c>
      <c r="E244" s="77" t="str">
        <v>TV Conecta Xview+ + Telefonía + 100 Megas Simetrico</v>
      </c>
      <c r="F244" s="77" t="str">
        <f t="shared" si="142"/>
        <v>Residencial</v>
      </c>
      <c r="G244" s="77" t="str">
        <f t="shared" si="142"/>
        <v>STAR + Internet fijo + Telefonía fija</v>
      </c>
      <c r="H244" s="61" t="s">
        <v>144</v>
      </c>
      <c r="I244" s="84"/>
      <c r="J244" s="150">
        <f t="shared" ref="J244" si="204">IFERROR(J$10*J116,"")</f>
        <v>58.913900000000005</v>
      </c>
      <c r="K244" s="150">
        <f t="shared" ref="K244" si="205">IFERROR(K$10*K116,"")</f>
        <v>56.872199999999999</v>
      </c>
      <c r="L244" s="150"/>
      <c r="M244" s="150"/>
      <c r="N244" s="150"/>
      <c r="O244" s="150"/>
      <c r="R244" s="78"/>
    </row>
    <row r="245" spans="3:18" x14ac:dyDescent="0.2">
      <c r="C245" s="173" t="str">
        <f t="shared" si="141"/>
        <v>TV Conecta Xview+ + Telefonía + 1000 MegasResidencial</v>
      </c>
      <c r="D245" s="144">
        <f t="shared" si="149"/>
        <v>97</v>
      </c>
      <c r="E245" s="77" t="str">
        <v>TV Conecta Xview+ + Telefonía + 1000 Megas</v>
      </c>
      <c r="F245" s="77" t="str">
        <f t="shared" si="142"/>
        <v>Residencial</v>
      </c>
      <c r="G245" s="77" t="str">
        <f t="shared" si="142"/>
        <v>STAR + Internet fijo + Telefonía fija</v>
      </c>
      <c r="H245" s="61" t="s">
        <v>144</v>
      </c>
      <c r="I245" s="84"/>
      <c r="J245" s="150">
        <f t="shared" ref="J245" si="206">IFERROR(J$10*J117,"")</f>
        <v>117.82780000000001</v>
      </c>
      <c r="K245" s="150">
        <f t="shared" ref="K245" si="207">IFERROR(K$10*K117,"")</f>
        <v>113.7444</v>
      </c>
      <c r="L245" s="150"/>
      <c r="M245" s="150"/>
      <c r="N245" s="150"/>
      <c r="O245" s="150"/>
      <c r="R245" s="78"/>
    </row>
    <row r="246" spans="3:18" x14ac:dyDescent="0.2">
      <c r="C246" s="173" t="str">
        <f t="shared" si="141"/>
        <v>TV Conecta Xview+ + Telefonía + 250 MegasResidencial</v>
      </c>
      <c r="D246" s="144">
        <f t="shared" si="149"/>
        <v>98</v>
      </c>
      <c r="E246" s="77" t="str">
        <v>TV Conecta Xview+ + Telefonía + 250 Megas</v>
      </c>
      <c r="F246" s="77" t="str">
        <f t="shared" si="142"/>
        <v>Residencial</v>
      </c>
      <c r="G246" s="77" t="str">
        <f t="shared" si="142"/>
        <v>STAR + Internet fijo + Telefonía fija</v>
      </c>
      <c r="H246" s="61" t="s">
        <v>144</v>
      </c>
      <c r="I246" s="84"/>
      <c r="J246" s="150">
        <f t="shared" ref="J246" si="208">IFERROR(J$10*J118,"")</f>
        <v>51490.748600000006</v>
      </c>
      <c r="K246" s="150">
        <f t="shared" ref="K246" si="209">IFERROR(K$10*K118,"")</f>
        <v>49706.302800000005</v>
      </c>
      <c r="L246" s="150"/>
      <c r="M246" s="150"/>
      <c r="N246" s="150"/>
      <c r="O246" s="150"/>
      <c r="R246" s="78"/>
    </row>
    <row r="247" spans="3:18" x14ac:dyDescent="0.2">
      <c r="C247" s="173" t="str">
        <f t="shared" si="141"/>
        <v>TV Conecta Xview+ + Telefonía + 250 Megas SimetricoResidencial</v>
      </c>
      <c r="D247" s="144">
        <f t="shared" si="149"/>
        <v>99</v>
      </c>
      <c r="E247" s="77" t="str">
        <v>TV Conecta Xview+ + Telefonía + 250 Megas Simetrico</v>
      </c>
      <c r="F247" s="77" t="str">
        <f t="shared" si="142"/>
        <v>Residencial</v>
      </c>
      <c r="G247" s="77" t="str">
        <f t="shared" si="142"/>
        <v>STAR + Internet fijo + Telefonía fija</v>
      </c>
      <c r="H247" s="61" t="s">
        <v>144</v>
      </c>
      <c r="I247" s="84"/>
      <c r="J247" s="150">
        <f t="shared" ref="J247" si="210">IFERROR(J$10*J119,"")</f>
        <v>58.913900000000005</v>
      </c>
      <c r="K247" s="150">
        <f t="shared" ref="K247" si="211">IFERROR(K$10*K119,"")</f>
        <v>56.872199999999999</v>
      </c>
      <c r="L247" s="150"/>
      <c r="M247" s="150"/>
      <c r="N247" s="150"/>
      <c r="O247" s="150"/>
      <c r="R247" s="78"/>
    </row>
    <row r="248" spans="3:18" x14ac:dyDescent="0.2">
      <c r="C248" s="173" t="str">
        <f t="shared" si="141"/>
        <v>TV Conecta Xview+ + Telefonía + 500 MegasResidencial</v>
      </c>
      <c r="D248" s="144">
        <f t="shared" si="149"/>
        <v>100</v>
      </c>
      <c r="E248" s="77" t="str">
        <v>TV Conecta Xview+ + Telefonía + 500 Megas</v>
      </c>
      <c r="F248" s="77" t="str">
        <f t="shared" si="142"/>
        <v>Residencial</v>
      </c>
      <c r="G248" s="77" t="str">
        <f t="shared" si="142"/>
        <v>STAR + Internet fijo + Telefonía fija</v>
      </c>
      <c r="H248" s="61" t="s">
        <v>144</v>
      </c>
      <c r="I248" s="84"/>
      <c r="J248" s="150">
        <f t="shared" ref="J248" si="212">IFERROR(J$10*J120,"")</f>
        <v>1885.2448000000002</v>
      </c>
      <c r="K248" s="150">
        <f t="shared" ref="K248" si="213">IFERROR(K$10*K120,"")</f>
        <v>1819.9104</v>
      </c>
      <c r="L248" s="150"/>
      <c r="M248" s="150"/>
      <c r="N248" s="150"/>
      <c r="O248" s="150"/>
      <c r="R248" s="78"/>
    </row>
    <row r="249" spans="3:18" x14ac:dyDescent="0.2">
      <c r="C249" s="173" t="str">
        <f t="shared" si="141"/>
        <v>TV Conecta Xview+ + Telefonía + 500 Megas SimetricoResidencial</v>
      </c>
      <c r="D249" s="144">
        <f t="shared" si="149"/>
        <v>101</v>
      </c>
      <c r="E249" s="77" t="str">
        <v>TV Conecta Xview+ + Telefonía + 500 Megas Simetrico</v>
      </c>
      <c r="F249" s="77" t="str">
        <f t="shared" si="142"/>
        <v>Residencial</v>
      </c>
      <c r="G249" s="77" t="str">
        <f t="shared" si="142"/>
        <v>STAR + Internet fijo + Telefonía fija</v>
      </c>
      <c r="H249" s="61" t="s">
        <v>144</v>
      </c>
      <c r="I249" s="84"/>
      <c r="J249" s="150">
        <f t="shared" ref="J249" si="214">IFERROR(J$10*J121,"")</f>
        <v>58.913900000000005</v>
      </c>
      <c r="K249" s="150">
        <f t="shared" ref="K249" si="215">IFERROR(K$10*K121,"")</f>
        <v>56.872199999999999</v>
      </c>
      <c r="L249" s="150"/>
      <c r="M249" s="150"/>
      <c r="N249" s="150"/>
      <c r="O249" s="150"/>
      <c r="R249" s="78"/>
    </row>
    <row r="250" spans="3:18" x14ac:dyDescent="0.2">
      <c r="C250" s="173" t="str">
        <f t="shared" si="141"/>
        <v>TV Conecta Xview+ + Telefonía + 60 MegasResidencial</v>
      </c>
      <c r="D250" s="144">
        <f t="shared" si="149"/>
        <v>102</v>
      </c>
      <c r="E250" s="77" t="str">
        <v>TV Conecta Xview+ + Telefonía + 60 Megas</v>
      </c>
      <c r="F250" s="77" t="str">
        <f t="shared" si="142"/>
        <v>Residencial</v>
      </c>
      <c r="G250" s="77" t="str">
        <f t="shared" si="142"/>
        <v>STAR + Internet fijo + Telefonía fija</v>
      </c>
      <c r="H250" s="61" t="s">
        <v>144</v>
      </c>
      <c r="I250" s="84"/>
      <c r="J250" s="150">
        <f t="shared" ref="J250" si="216">IFERROR(J$10*J122,"")</f>
        <v>254566.96189999999</v>
      </c>
      <c r="K250" s="150">
        <f t="shared" ref="K250" si="217">IFERROR(K$10*K122,"")</f>
        <v>245744.77619999999</v>
      </c>
      <c r="L250" s="150"/>
      <c r="M250" s="150"/>
      <c r="N250" s="150"/>
      <c r="O250" s="150"/>
      <c r="R250" s="78"/>
    </row>
    <row r="251" spans="3:18" x14ac:dyDescent="0.2">
      <c r="C251" s="173" t="str">
        <f t="shared" si="141"/>
        <v>TV Conecta Xview+ + Telefonía + 60 Megas SimetricoResidencial</v>
      </c>
      <c r="D251" s="144">
        <f t="shared" si="149"/>
        <v>103</v>
      </c>
      <c r="E251" s="77" t="str">
        <v>TV Conecta Xview+ + Telefonía + 60 Megas Simetrico</v>
      </c>
      <c r="F251" s="77" t="str">
        <f t="shared" si="142"/>
        <v>Residencial</v>
      </c>
      <c r="G251" s="77" t="str">
        <f t="shared" si="142"/>
        <v>STAR + Internet fijo + Telefonía fija</v>
      </c>
      <c r="H251" s="61" t="s">
        <v>144</v>
      </c>
      <c r="I251" s="84"/>
      <c r="J251" s="150">
        <f t="shared" ref="J251" si="218">IFERROR(J$10*J123,"")</f>
        <v>58.913900000000005</v>
      </c>
      <c r="K251" s="150">
        <f t="shared" ref="K251" si="219">IFERROR(K$10*K123,"")</f>
        <v>56.872199999999999</v>
      </c>
      <c r="L251" s="150"/>
      <c r="M251" s="150"/>
      <c r="N251" s="150"/>
      <c r="O251" s="150"/>
      <c r="R251" s="78"/>
    </row>
    <row r="252" spans="3:18" x14ac:dyDescent="0.2">
      <c r="C252" s="173" t="str">
        <f t="shared" si="141"/>
        <v>TV Conecta Xview+ Negocio + Telefonía Negocio + 100 Megas NegocioNegocio</v>
      </c>
      <c r="D252" s="144">
        <f t="shared" si="149"/>
        <v>104</v>
      </c>
      <c r="E252" s="77" t="str">
        <v>TV Conecta Xview+ Negocio + Telefonía Negocio + 100 Megas Negocio</v>
      </c>
      <c r="F252" s="77" t="str">
        <f t="shared" ref="F252" si="220">F124</f>
        <v>Negocio</v>
      </c>
      <c r="G252" s="77" t="str">
        <f t="shared" si="142"/>
        <v>STAR + Internet fijo + Telefonía fija</v>
      </c>
      <c r="H252" s="61" t="s">
        <v>144</v>
      </c>
      <c r="I252" s="84"/>
      <c r="J252" s="150">
        <f t="shared" ref="J252" si="221">IFERROR(J$10*J124,"")</f>
        <v>5773.5621999999994</v>
      </c>
      <c r="K252" s="150">
        <f t="shared" ref="K252" si="222">IFERROR(K$10*K124,"")</f>
        <v>5573.4755999999998</v>
      </c>
      <c r="L252" s="150"/>
      <c r="M252" s="150"/>
      <c r="N252" s="150"/>
      <c r="O252" s="150"/>
      <c r="R252" s="78"/>
    </row>
    <row r="253" spans="3:18" x14ac:dyDescent="0.2">
      <c r="C253" s="173" t="str">
        <f t="shared" si="141"/>
        <v>TV Conecta Xview+ Negocio + Telefonía Negocio + 100 Megas Simetrico NegocioNegocio</v>
      </c>
      <c r="D253" s="144">
        <f t="shared" si="149"/>
        <v>105</v>
      </c>
      <c r="E253" s="77" t="str">
        <v>TV Conecta Xview+ Negocio + Telefonía Negocio + 100 Megas Simetrico Negocio</v>
      </c>
      <c r="F253" s="77" t="str">
        <f t="shared" ref="F253" si="223">F125</f>
        <v>Negocio</v>
      </c>
      <c r="G253" s="77" t="str">
        <f t="shared" si="142"/>
        <v>STAR + Internet fijo + Telefonía fija</v>
      </c>
      <c r="H253" s="61" t="s">
        <v>144</v>
      </c>
      <c r="I253" s="84"/>
      <c r="J253" s="150">
        <f t="shared" ref="J253" si="224">IFERROR(J$10*J125,"")</f>
        <v>58.913900000000005</v>
      </c>
      <c r="K253" s="150">
        <f t="shared" ref="K253" si="225">IFERROR(K$10*K125,"")</f>
        <v>56.872199999999999</v>
      </c>
      <c r="L253" s="150"/>
      <c r="M253" s="150"/>
      <c r="N253" s="150"/>
      <c r="O253" s="150"/>
      <c r="R253" s="78"/>
    </row>
    <row r="254" spans="3:18" x14ac:dyDescent="0.2">
      <c r="C254" s="173" t="str">
        <f t="shared" si="141"/>
        <v>TV Conecta Xview+ Negocio + Telefonía Negocio + 1000 Megas NegocioNegocio</v>
      </c>
      <c r="D254" s="144">
        <f t="shared" si="149"/>
        <v>106</v>
      </c>
      <c r="E254" s="77" t="str">
        <v>TV Conecta Xview+ Negocio + Telefonía Negocio + 1000 Megas Negocio</v>
      </c>
      <c r="F254" s="77" t="str">
        <f t="shared" ref="F254" si="226">F126</f>
        <v>Negocio</v>
      </c>
      <c r="G254" s="77" t="str">
        <f t="shared" si="142"/>
        <v>STAR + Internet fijo + Telefonía fija</v>
      </c>
      <c r="H254" s="61" t="s">
        <v>144</v>
      </c>
      <c r="I254" s="84"/>
      <c r="J254" s="150">
        <f t="shared" ref="J254" si="227">IFERROR(J$10*J126,"")</f>
        <v>58.913900000000005</v>
      </c>
      <c r="K254" s="150">
        <f t="shared" ref="K254" si="228">IFERROR(K$10*K126,"")</f>
        <v>56.872199999999999</v>
      </c>
      <c r="L254" s="150"/>
      <c r="M254" s="150"/>
      <c r="N254" s="150"/>
      <c r="O254" s="150"/>
      <c r="R254" s="78"/>
    </row>
    <row r="255" spans="3:18" x14ac:dyDescent="0.2">
      <c r="C255" s="173" t="str">
        <f t="shared" si="141"/>
        <v>TV Conecta Xview+ Negocio + Telefonía Negocio + 250 Megas NegocioNegocio</v>
      </c>
      <c r="D255" s="144">
        <f t="shared" si="149"/>
        <v>107</v>
      </c>
      <c r="E255" s="77" t="str">
        <v>TV Conecta Xview+ Negocio + Telefonía Negocio + 250 Megas Negocio</v>
      </c>
      <c r="F255" s="77" t="str">
        <f t="shared" ref="F255" si="229">F127</f>
        <v>Negocio</v>
      </c>
      <c r="G255" s="77" t="str">
        <f t="shared" si="142"/>
        <v>STAR + Internet fijo + Telefonía fija</v>
      </c>
      <c r="H255" s="61" t="s">
        <v>144</v>
      </c>
      <c r="I255" s="84"/>
      <c r="J255" s="150">
        <f t="shared" ref="J255" si="230">IFERROR(J$10*J127,"")</f>
        <v>3534.8340000000003</v>
      </c>
      <c r="K255" s="150">
        <f t="shared" ref="K255" si="231">IFERROR(K$10*K127,"")</f>
        <v>3412.3319999999999</v>
      </c>
      <c r="L255" s="150"/>
      <c r="M255" s="150"/>
      <c r="N255" s="150"/>
      <c r="O255" s="150"/>
      <c r="R255" s="78"/>
    </row>
    <row r="256" spans="3:18" x14ac:dyDescent="0.2">
      <c r="C256" s="173" t="str">
        <f t="shared" si="141"/>
        <v>TV Conecta Xview+ Negocio + Telefonía Negocio + 250 Megas Simetrico NegocioNegocio</v>
      </c>
      <c r="D256" s="144">
        <f t="shared" si="149"/>
        <v>108</v>
      </c>
      <c r="E256" s="77" t="str">
        <v>TV Conecta Xview+ Negocio + Telefonía Negocio + 250 Megas Simetrico Negocio</v>
      </c>
      <c r="F256" s="77" t="str">
        <f t="shared" ref="F256" si="232">F128</f>
        <v>Negocio</v>
      </c>
      <c r="G256" s="77" t="str">
        <f t="shared" si="142"/>
        <v>STAR + Internet fijo + Telefonía fija</v>
      </c>
      <c r="H256" s="61" t="s">
        <v>144</v>
      </c>
      <c r="I256" s="84"/>
      <c r="J256" s="150">
        <f t="shared" ref="J256" si="233">IFERROR(J$10*J128,"")</f>
        <v>58.913900000000005</v>
      </c>
      <c r="K256" s="150">
        <f t="shared" ref="K256" si="234">IFERROR(K$10*K128,"")</f>
        <v>56.872199999999999</v>
      </c>
      <c r="L256" s="150"/>
      <c r="M256" s="150"/>
      <c r="N256" s="150"/>
      <c r="O256" s="150"/>
      <c r="R256" s="78"/>
    </row>
    <row r="257" spans="3:18" x14ac:dyDescent="0.2">
      <c r="C257" s="173" t="str">
        <f t="shared" si="141"/>
        <v>TV Conecta Xview+ Negocio + Telefonía Negocio + 500 Megas NegocioNegocio</v>
      </c>
      <c r="D257" s="144">
        <f t="shared" si="149"/>
        <v>109</v>
      </c>
      <c r="E257" s="77" t="str">
        <v>TV Conecta Xview+ Negocio + Telefonía Negocio + 500 Megas Negocio</v>
      </c>
      <c r="F257" s="77" t="str">
        <f t="shared" ref="F257:G257" si="235">F129</f>
        <v>Negocio</v>
      </c>
      <c r="G257" s="77" t="str">
        <f t="shared" si="235"/>
        <v>STAR + Internet fijo + Telefonía fija</v>
      </c>
      <c r="H257" s="61" t="s">
        <v>144</v>
      </c>
      <c r="I257" s="84"/>
      <c r="J257" s="150">
        <f t="shared" ref="J257" si="236">IFERROR(J$10*J129,"")</f>
        <v>176.74169999999998</v>
      </c>
      <c r="K257" s="150">
        <f t="shared" ref="K257" si="237">IFERROR(K$10*K129,"")</f>
        <v>170.61659999999998</v>
      </c>
      <c r="L257" s="150"/>
      <c r="M257" s="150"/>
      <c r="N257" s="150"/>
      <c r="O257" s="150"/>
      <c r="R257" s="78"/>
    </row>
    <row r="258" spans="3:18" x14ac:dyDescent="0.2">
      <c r="C258" s="173" t="str">
        <f t="shared" si="141"/>
        <v>TV Conecta Xview+ Negocio + Telefonía Negocio + 500 Megas Simetrico NegocioNegocio</v>
      </c>
      <c r="D258" s="144">
        <f t="shared" si="149"/>
        <v>110</v>
      </c>
      <c r="E258" s="77" t="str">
        <v>TV Conecta Xview+ Negocio + Telefonía Negocio + 500 Megas Simetrico Negocio</v>
      </c>
      <c r="F258" s="77" t="str">
        <f t="shared" ref="F258:G258" si="238">F130</f>
        <v>Negocio</v>
      </c>
      <c r="G258" s="77" t="str">
        <f t="shared" si="238"/>
        <v>STAR + Internet fijo + Telefonía fija</v>
      </c>
      <c r="H258" s="61" t="s">
        <v>144</v>
      </c>
      <c r="I258" s="84"/>
      <c r="J258" s="150">
        <f t="shared" ref="J258" si="239">IFERROR(J$10*J130,"")</f>
        <v>58.913900000000005</v>
      </c>
      <c r="K258" s="150">
        <f t="shared" ref="K258" si="240">IFERROR(K$10*K130,"")</f>
        <v>56.872199999999999</v>
      </c>
      <c r="L258" s="150"/>
      <c r="M258" s="150"/>
      <c r="N258" s="150"/>
      <c r="O258" s="150"/>
      <c r="R258" s="78"/>
    </row>
    <row r="259" spans="3:18" x14ac:dyDescent="0.2">
      <c r="C259" s="173" t="str">
        <f t="shared" si="141"/>
        <v>TV Conecta Xview+ Negocio + Telefonía Negocio + 60 Megas NegocioNegocio</v>
      </c>
      <c r="D259" s="144">
        <f t="shared" si="149"/>
        <v>111</v>
      </c>
      <c r="E259" s="77" t="str">
        <v>TV Conecta Xview+ Negocio + Telefonía Negocio + 60 Megas Negocio</v>
      </c>
      <c r="F259" s="77" t="str">
        <f t="shared" ref="F259:G259" si="241">F131</f>
        <v>Negocio</v>
      </c>
      <c r="G259" s="77" t="str">
        <f t="shared" si="241"/>
        <v>STAR + Internet fijo + Telefonía fija</v>
      </c>
      <c r="H259" s="61" t="s">
        <v>144</v>
      </c>
      <c r="I259" s="84"/>
      <c r="J259" s="150">
        <f t="shared" ref="J259" si="242">IFERROR(J$10*J131,"")</f>
        <v>11252.554899999999</v>
      </c>
      <c r="K259" s="150">
        <f t="shared" ref="K259" si="243">IFERROR(K$10*K131,"")</f>
        <v>10862.590199999999</v>
      </c>
      <c r="L259" s="150"/>
      <c r="M259" s="150"/>
      <c r="N259" s="150"/>
      <c r="O259" s="150"/>
      <c r="R259" s="78"/>
    </row>
    <row r="260" spans="3:18" x14ac:dyDescent="0.2">
      <c r="C260" s="173" t="str">
        <f t="shared" si="141"/>
        <v>TV Conecta Xview+ Negocio + Telefonía Negocio + 60 Megas Simetrico NegocioNegocio</v>
      </c>
      <c r="D260" s="144">
        <f t="shared" si="149"/>
        <v>112</v>
      </c>
      <c r="E260" s="77" t="str">
        <v>TV Conecta Xview+ Negocio + Telefonía Negocio + 60 Megas Simetrico Negocio</v>
      </c>
      <c r="F260" s="77" t="str">
        <f t="shared" ref="F260:G260" si="244">F132</f>
        <v>Negocio</v>
      </c>
      <c r="G260" s="77" t="str">
        <f t="shared" si="244"/>
        <v>STAR + Internet fijo + Telefonía fija</v>
      </c>
      <c r="H260" s="61" t="s">
        <v>144</v>
      </c>
      <c r="I260" s="84"/>
      <c r="J260" s="150">
        <f t="shared" ref="J260" si="245">IFERROR(J$10*J132,"")</f>
        <v>58.913900000000005</v>
      </c>
      <c r="K260" s="150">
        <f t="shared" ref="K260" si="246">IFERROR(K$10*K132,"")</f>
        <v>56.872199999999999</v>
      </c>
      <c r="L260" s="150"/>
      <c r="M260" s="150"/>
      <c r="N260" s="150"/>
      <c r="O260" s="150"/>
      <c r="R260" s="78"/>
    </row>
    <row r="261" spans="3:18" ht="12.75" thickBot="1" x14ac:dyDescent="0.25">
      <c r="C261" s="173" t="str">
        <f t="shared" si="141"/>
        <v>Full Connected HomeResidencial</v>
      </c>
      <c r="D261" s="144">
        <f t="shared" si="149"/>
        <v>113</v>
      </c>
      <c r="E261" s="77" t="str">
        <v>Full Connected Home</v>
      </c>
      <c r="F261" s="77" t="str">
        <f t="shared" ref="F261:G261" si="247">F133</f>
        <v>Residencial</v>
      </c>
      <c r="G261" s="77" t="str">
        <f t="shared" si="247"/>
        <v>STAR + Internet fijo + Telefonía fija</v>
      </c>
      <c r="H261" s="61" t="s">
        <v>144</v>
      </c>
      <c r="I261" s="84"/>
      <c r="J261" s="150">
        <f t="shared" ref="J261" si="248">IFERROR(J$10*J133,"")</f>
        <v>5302.2509999999993</v>
      </c>
      <c r="K261" s="150">
        <f t="shared" ref="K261" si="249">IFERROR(K$10*K133,"")</f>
        <v>5118.4979999999996</v>
      </c>
      <c r="L261" s="150"/>
      <c r="M261" s="150"/>
      <c r="N261" s="150"/>
      <c r="O261" s="150"/>
      <c r="R261" s="78"/>
    </row>
    <row r="262" spans="3:18" hidden="1" outlineLevel="1" x14ac:dyDescent="0.2">
      <c r="D262" s="144">
        <f t="shared" si="149"/>
        <v>114</v>
      </c>
      <c r="E262" s="77"/>
      <c r="F262" s="77"/>
      <c r="G262" s="77"/>
      <c r="H262" s="61"/>
      <c r="I262" s="84"/>
      <c r="J262" s="84"/>
      <c r="K262" s="84"/>
      <c r="L262" s="84"/>
      <c r="M262" s="84"/>
      <c r="N262" s="84"/>
      <c r="O262" s="150"/>
      <c r="R262" s="78"/>
    </row>
    <row r="263" spans="3:18" hidden="1" outlineLevel="1" x14ac:dyDescent="0.2">
      <c r="D263" s="144">
        <f t="shared" si="149"/>
        <v>115</v>
      </c>
      <c r="E263" s="77"/>
      <c r="F263" s="77"/>
      <c r="G263" s="77"/>
      <c r="H263" s="61"/>
      <c r="I263" s="84"/>
      <c r="J263" s="84"/>
      <c r="K263" s="84"/>
      <c r="L263" s="84"/>
      <c r="M263" s="84"/>
      <c r="N263" s="84"/>
      <c r="O263" s="150"/>
      <c r="R263" s="78"/>
    </row>
    <row r="264" spans="3:18" hidden="1" outlineLevel="1" x14ac:dyDescent="0.2">
      <c r="D264" s="144">
        <f t="shared" si="149"/>
        <v>116</v>
      </c>
      <c r="E264" s="77"/>
      <c r="F264" s="77"/>
      <c r="G264" s="77"/>
      <c r="H264" s="61"/>
      <c r="I264" s="84"/>
      <c r="J264" s="84"/>
      <c r="K264" s="84"/>
      <c r="L264" s="84"/>
      <c r="M264" s="84"/>
      <c r="N264" s="84"/>
      <c r="O264" s="150"/>
      <c r="R264" s="78"/>
    </row>
    <row r="265" spans="3:18" hidden="1" outlineLevel="1" x14ac:dyDescent="0.2">
      <c r="D265" s="144">
        <f t="shared" si="149"/>
        <v>117</v>
      </c>
      <c r="E265" s="77"/>
      <c r="F265" s="77"/>
      <c r="G265" s="77"/>
      <c r="H265" s="61"/>
      <c r="I265" s="84"/>
      <c r="J265" s="84"/>
      <c r="K265" s="84"/>
      <c r="L265" s="84"/>
      <c r="M265" s="84"/>
      <c r="N265" s="84"/>
      <c r="O265" s="150"/>
      <c r="R265" s="78"/>
    </row>
    <row r="266" spans="3:18" hidden="1" outlineLevel="1" x14ac:dyDescent="0.2">
      <c r="D266" s="144">
        <f t="shared" si="149"/>
        <v>118</v>
      </c>
      <c r="E266" s="77"/>
      <c r="F266" s="77"/>
      <c r="G266" s="77"/>
      <c r="H266" s="61"/>
      <c r="I266" s="84"/>
      <c r="J266" s="84"/>
      <c r="K266" s="84"/>
      <c r="L266" s="84"/>
      <c r="M266" s="84"/>
      <c r="N266" s="84"/>
      <c r="O266" s="150"/>
      <c r="R266" s="78"/>
    </row>
    <row r="267" spans="3:18" hidden="1" outlineLevel="1" x14ac:dyDescent="0.2">
      <c r="D267" s="144">
        <f t="shared" si="149"/>
        <v>119</v>
      </c>
      <c r="E267" s="77"/>
      <c r="F267" s="77"/>
      <c r="G267" s="77"/>
      <c r="H267" s="61"/>
      <c r="I267" s="84"/>
      <c r="J267" s="84"/>
      <c r="K267" s="84"/>
      <c r="L267" s="84"/>
      <c r="M267" s="84"/>
      <c r="N267" s="84"/>
      <c r="O267" s="150"/>
      <c r="R267" s="78"/>
    </row>
    <row r="268" spans="3:18" hidden="1" outlineLevel="1" x14ac:dyDescent="0.2">
      <c r="D268" s="144">
        <f t="shared" si="149"/>
        <v>120</v>
      </c>
      <c r="E268" s="77"/>
      <c r="F268" s="77"/>
      <c r="G268" s="77"/>
      <c r="H268" s="61"/>
      <c r="I268" s="84"/>
      <c r="J268" s="84"/>
      <c r="K268" s="84"/>
      <c r="L268" s="84"/>
      <c r="M268" s="84"/>
      <c r="N268" s="84"/>
      <c r="O268" s="150"/>
      <c r="R268" s="78"/>
    </row>
    <row r="269" spans="3:18" hidden="1" outlineLevel="1" x14ac:dyDescent="0.2">
      <c r="D269" s="144">
        <f t="shared" si="149"/>
        <v>121</v>
      </c>
      <c r="E269" s="77"/>
      <c r="F269" s="77"/>
      <c r="G269" s="77"/>
      <c r="H269" s="61"/>
      <c r="I269" s="84"/>
      <c r="J269" s="84"/>
      <c r="K269" s="84"/>
      <c r="L269" s="84"/>
      <c r="M269" s="84"/>
      <c r="N269" s="84"/>
      <c r="O269" s="150"/>
      <c r="R269" s="78"/>
    </row>
    <row r="270" spans="3:18" hidden="1" outlineLevel="1" x14ac:dyDescent="0.2">
      <c r="D270" s="144">
        <f t="shared" si="149"/>
        <v>122</v>
      </c>
      <c r="E270" s="77"/>
      <c r="F270" s="77"/>
      <c r="G270" s="77"/>
      <c r="H270" s="61"/>
      <c r="I270" s="84"/>
      <c r="J270" s="84"/>
      <c r="K270" s="84"/>
      <c r="L270" s="84"/>
      <c r="M270" s="84"/>
      <c r="N270" s="84"/>
      <c r="O270" s="150"/>
      <c r="R270" s="78"/>
    </row>
    <row r="271" spans="3:18" hidden="1" outlineLevel="1" x14ac:dyDescent="0.2">
      <c r="D271" s="144">
        <f t="shared" si="149"/>
        <v>123</v>
      </c>
      <c r="E271" s="77"/>
      <c r="F271" s="77"/>
      <c r="G271" s="77"/>
      <c r="H271" s="61"/>
      <c r="I271" s="84"/>
      <c r="J271" s="84"/>
      <c r="K271" s="84"/>
      <c r="L271" s="84"/>
      <c r="M271" s="84"/>
      <c r="N271" s="84"/>
      <c r="O271" s="150"/>
      <c r="R271" s="78"/>
    </row>
    <row r="272" spans="3:18" ht="12.75" hidden="1" outlineLevel="1" thickBot="1" x14ac:dyDescent="0.25">
      <c r="D272" s="144">
        <f t="shared" si="149"/>
        <v>124</v>
      </c>
      <c r="E272" s="77"/>
      <c r="F272" s="77"/>
      <c r="G272" s="77"/>
      <c r="H272" s="61"/>
      <c r="I272" s="84"/>
      <c r="J272" s="84"/>
      <c r="K272" s="84"/>
      <c r="L272" s="84"/>
      <c r="M272" s="84"/>
      <c r="N272" s="84"/>
      <c r="O272" s="150"/>
      <c r="R272" s="78"/>
    </row>
    <row r="273" spans="1:53" hidden="1" outlineLevel="1" x14ac:dyDescent="0.2">
      <c r="D273" s="144">
        <f t="shared" si="149"/>
        <v>125</v>
      </c>
      <c r="E273" s="77"/>
      <c r="F273" s="77"/>
      <c r="G273" s="77"/>
      <c r="H273" s="61"/>
      <c r="I273" s="84"/>
      <c r="J273" s="84"/>
      <c r="K273" s="84"/>
      <c r="L273" s="84"/>
      <c r="M273" s="84"/>
      <c r="N273" s="84"/>
      <c r="O273" s="150"/>
      <c r="P273" s="165"/>
      <c r="R273" s="78"/>
    </row>
    <row r="274" spans="1:53" ht="12.75" hidden="1" outlineLevel="1" thickBot="1" x14ac:dyDescent="0.25">
      <c r="D274" s="144">
        <f t="shared" si="149"/>
        <v>126</v>
      </c>
      <c r="E274" s="77"/>
      <c r="F274" s="77"/>
      <c r="G274" s="77"/>
      <c r="H274" s="61"/>
      <c r="I274" s="84"/>
      <c r="J274" s="84"/>
      <c r="K274" s="84"/>
      <c r="L274" s="84"/>
      <c r="M274" s="84"/>
      <c r="N274" s="84"/>
      <c r="O274" s="150"/>
      <c r="R274" s="78"/>
    </row>
    <row r="275" spans="1:53" collapsed="1" x14ac:dyDescent="0.2">
      <c r="E275" s="82"/>
      <c r="F275" s="38"/>
      <c r="G275" s="38"/>
      <c r="H275" s="38"/>
      <c r="I275" s="38"/>
      <c r="J275" s="38"/>
      <c r="K275" s="38"/>
      <c r="L275" s="38"/>
      <c r="M275" s="38"/>
      <c r="N275" s="38"/>
      <c r="O275" s="38"/>
      <c r="P275" s="165" t="s">
        <v>461</v>
      </c>
      <c r="Q275" s="38"/>
      <c r="R275" s="38"/>
    </row>
    <row r="276" spans="1:53" x14ac:dyDescent="0.2">
      <c r="C276" s="78"/>
      <c r="D276" s="78"/>
    </row>
    <row r="277" spans="1:53" x14ac:dyDescent="0.2">
      <c r="B277" s="76">
        <v>1.3</v>
      </c>
      <c r="C277" s="76" t="s">
        <v>394</v>
      </c>
      <c r="D277" s="76"/>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row>
    <row r="278" spans="1:53" x14ac:dyDescent="0.2">
      <c r="C278" s="78"/>
      <c r="D278" s="78"/>
    </row>
    <row r="279" spans="1:53" x14ac:dyDescent="0.2">
      <c r="C279" s="78" t="s">
        <v>395</v>
      </c>
      <c r="D279" s="78"/>
    </row>
    <row r="280" spans="1:53" x14ac:dyDescent="0.2">
      <c r="C280" s="79" t="s">
        <v>146</v>
      </c>
      <c r="D280" s="79"/>
      <c r="H280" s="61" t="s">
        <v>144</v>
      </c>
      <c r="I280" s="84"/>
      <c r="J280" s="83">
        <f t="shared" ref="J280:L280" si="250">SUMIFS(J149:J272,$F$149:$F$272,"Residencial")</f>
        <v>587018.09959999996</v>
      </c>
      <c r="K280" s="83">
        <f t="shared" si="250"/>
        <v>566674.60080000001</v>
      </c>
      <c r="L280" s="83">
        <f t="shared" si="250"/>
        <v>0</v>
      </c>
      <c r="M280" s="83">
        <f>SUMIFS(M149:M272,$F$149:$F$272,"Residencial")</f>
        <v>0</v>
      </c>
      <c r="N280" s="83">
        <f>SUMIFS(N149:N272,$F$149:$F$272,"Residencial")</f>
        <v>0</v>
      </c>
      <c r="P280" s="41" t="s">
        <v>462</v>
      </c>
    </row>
    <row r="281" spans="1:53" x14ac:dyDescent="0.2">
      <c r="C281" s="79"/>
      <c r="D281" s="79"/>
      <c r="H281" s="61"/>
    </row>
    <row r="282" spans="1:53" x14ac:dyDescent="0.2">
      <c r="C282" s="79" t="s">
        <v>393</v>
      </c>
      <c r="D282" s="79"/>
      <c r="H282" s="61" t="s">
        <v>144</v>
      </c>
      <c r="I282" s="84"/>
      <c r="J282" s="83">
        <f>J280-SUMIFS(J$149:J$272,$F$149:$F$272,"Residencial",$G$149:$G$272,"Solo STAR")</f>
        <v>585545.25209999993</v>
      </c>
      <c r="K282" s="83">
        <f>K280-SUMIFS(K$149:K$272,$F$149:$F$272,"Residencial",$G$149:$G$272,"Solo STAR")</f>
        <v>565252.79579999996</v>
      </c>
      <c r="L282" s="83">
        <f>L280-SUMIFS(L$149:L$272,$F$149:$F$272,"Residencial",$G$149:$G$272,"Solo STAR")</f>
        <v>0</v>
      </c>
      <c r="M282" s="83">
        <f>M280-SUMIFS(M$149:M$272,$F$149:$F$272,"Residencial",$G$149:$G$272,"Internet fijo")</f>
        <v>0</v>
      </c>
      <c r="N282" s="83">
        <f>N280-SUMIFS(N$149:N$272,$F$149:$F$272,"Residencial",$G$149:$G$272,"Internet fijo")</f>
        <v>0</v>
      </c>
      <c r="P282" s="41" t="s">
        <v>463</v>
      </c>
    </row>
    <row r="283" spans="1:53" x14ac:dyDescent="0.2">
      <c r="C283" s="79"/>
      <c r="D283" s="79"/>
      <c r="H283" s="61"/>
    </row>
    <row r="284" spans="1:53" x14ac:dyDescent="0.2">
      <c r="C284" s="79" t="s">
        <v>396</v>
      </c>
      <c r="D284" s="79"/>
      <c r="H284" s="61" t="s">
        <v>144</v>
      </c>
      <c r="I284" s="84"/>
      <c r="J284" s="83">
        <f>SUMIFS(J149:J272,$G$149:$G$272,"Solo STAR")</f>
        <v>1590.6752999999999</v>
      </c>
      <c r="K284" s="83">
        <f>SUMIFS(K149:K272,$G$149:$G$272,"Solo STAR")</f>
        <v>1535.5493999999999</v>
      </c>
      <c r="L284" s="83">
        <f>SUMIFS(L149:L272,$G$149:$G$272,"Solo STAR")</f>
        <v>0</v>
      </c>
      <c r="M284" s="83">
        <f>SUMIFS(M149:M272,$G$149:$G$272,"Internet fijo")</f>
        <v>0</v>
      </c>
      <c r="N284" s="83">
        <f>SUMIFS(N149:N272,$G$149:$G$272,"Internet fijo")</f>
        <v>0</v>
      </c>
      <c r="P284" s="41" t="s">
        <v>464</v>
      </c>
    </row>
    <row r="285" spans="1:53" x14ac:dyDescent="0.2">
      <c r="C285" s="79"/>
      <c r="D285" s="79"/>
    </row>
    <row r="286" spans="1:53" x14ac:dyDescent="0.2">
      <c r="C286" s="79" t="s">
        <v>385</v>
      </c>
      <c r="D286" s="79"/>
      <c r="H286" s="61" t="s">
        <v>144</v>
      </c>
      <c r="I286" s="84"/>
      <c r="J286" s="83">
        <f>SUMIFS(J149:J272,$F$149:$F$272,"Negocio")</f>
        <v>31695.678199999991</v>
      </c>
      <c r="K286" s="83">
        <f>SUMIFS(K149:K272,$F$149:$F$272,"Negocio")</f>
        <v>30597.243600000002</v>
      </c>
      <c r="L286" s="83">
        <f>SUMIFS(L149:L272,$F$149:$F$272,"Negocio")</f>
        <v>0</v>
      </c>
      <c r="M286" s="83">
        <f>SUMIFS(M149:M272,$F$149:$F$272,"No Residencial")</f>
        <v>0</v>
      </c>
      <c r="N286" s="83">
        <f>SUMIFS(N149:N272,$F$149:$F$272,"No Residencial")</f>
        <v>0</v>
      </c>
      <c r="P286" s="41" t="s">
        <v>465</v>
      </c>
    </row>
    <row r="287" spans="1:53" x14ac:dyDescent="0.2">
      <c r="C287" s="78"/>
      <c r="D287" s="78"/>
    </row>
    <row r="288" spans="1:53" x14ac:dyDescent="0.2">
      <c r="A288" s="76" t="s">
        <v>150</v>
      </c>
      <c r="B288" s="76" t="s">
        <v>149</v>
      </c>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row>
    <row r="292" spans="14:14" x14ac:dyDescent="0.2">
      <c r="N292" s="41"/>
    </row>
    <row r="300" spans="14:14" x14ac:dyDescent="0.2">
      <c r="N300" s="41"/>
    </row>
  </sheetData>
  <mergeCells count="1">
    <mergeCell ref="W11:AC11"/>
  </mergeCells>
  <pageMargins left="0.7" right="0.7" top="0.75" bottom="0.75" header="0.3" footer="0.3"/>
  <pageSetup orientation="portrait" r:id="rId1"/>
  <ignoredErrors>
    <ignoredError sqref="I281 I285 I283 D22:D94 D150:D219 M280:N286 K149:K261 K280:L286 J149:J261 J283 J285 J281 J280 J282 J286 J284"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AY270"/>
  <sheetViews>
    <sheetView showGridLines="0" zoomScaleNormal="100" workbookViewId="0">
      <selection sqref="A1:XFD1048576"/>
    </sheetView>
  </sheetViews>
  <sheetFormatPr baseColWidth="10" defaultRowHeight="12" outlineLevelRow="1" x14ac:dyDescent="0.2"/>
  <cols>
    <col min="1" max="1" width="10.5703125" customWidth="1"/>
    <col min="2" max="2" width="4.7109375" customWidth="1"/>
    <col min="3" max="3" width="4.28515625" customWidth="1"/>
    <col min="4" max="4" width="50.7109375" customWidth="1"/>
    <col min="5" max="5" width="16.28515625" customWidth="1"/>
    <col min="6" max="6" width="28.140625" bestFit="1" customWidth="1"/>
    <col min="7" max="7" width="24.5703125" customWidth="1"/>
    <col min="8" max="8" width="18.28515625" customWidth="1"/>
    <col min="9" max="9" width="20.7109375" customWidth="1"/>
    <col min="10" max="10" width="21.28515625" customWidth="1"/>
    <col min="11" max="11" width="20.28515625" customWidth="1"/>
    <col min="12" max="12" width="18.28515625" customWidth="1"/>
    <col min="13" max="13" width="18.7109375" customWidth="1"/>
    <col min="14" max="14" width="14.42578125" customWidth="1"/>
    <col min="15" max="15" width="19" customWidth="1"/>
    <col min="16" max="16" width="11.42578125" customWidth="1"/>
    <col min="17" max="17" width="16.5703125" customWidth="1"/>
    <col min="18" max="18" width="14.5703125" customWidth="1"/>
    <col min="19" max="20" width="11.42578125" customWidth="1"/>
    <col min="21" max="21" width="23.28515625" customWidth="1"/>
    <col min="22" max="22" width="12.7109375" customWidth="1"/>
    <col min="23" max="23" width="20.28515625" customWidth="1"/>
    <col min="24" max="24" width="20.5703125" customWidth="1"/>
  </cols>
  <sheetData>
    <row r="1" spans="1:51" s="71" customFormat="1" ht="33.75" customHeight="1" thickBot="1" x14ac:dyDescent="0.25">
      <c r="C1" s="71" t="s">
        <v>214</v>
      </c>
    </row>
    <row r="2" spans="1:51" x14ac:dyDescent="0.2">
      <c r="D2" s="38"/>
      <c r="E2" s="38"/>
      <c r="F2" s="38"/>
      <c r="G2" s="38"/>
      <c r="H2" s="38"/>
      <c r="I2" s="38"/>
      <c r="J2" s="38"/>
      <c r="K2" s="38"/>
      <c r="L2" s="38"/>
      <c r="M2" s="38"/>
    </row>
    <row r="3" spans="1:51" x14ac:dyDescent="0.2">
      <c r="A3" s="76">
        <v>1</v>
      </c>
      <c r="B3" s="76" t="s">
        <v>447</v>
      </c>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row>
    <row r="5" spans="1:51" x14ac:dyDescent="0.2">
      <c r="C5" s="143" t="s">
        <v>263</v>
      </c>
    </row>
    <row r="7" spans="1:51" ht="24" x14ac:dyDescent="0.2">
      <c r="C7" s="54" t="s">
        <v>130</v>
      </c>
      <c r="D7" s="54" t="str">
        <f>Mercado!E19</f>
        <v>Nombre de plan/paquete</v>
      </c>
      <c r="E7" s="54" t="str">
        <f>Mercado!F19</f>
        <v>Modalidad</v>
      </c>
      <c r="F7" s="54" t="str">
        <f>Mercado!G19</f>
        <v>Tipo de Servicio</v>
      </c>
      <c r="G7" s="54" t="s">
        <v>383</v>
      </c>
      <c r="H7" s="54" t="s">
        <v>384</v>
      </c>
      <c r="I7" s="54" t="s">
        <v>408</v>
      </c>
      <c r="J7" s="54" t="s">
        <v>409</v>
      </c>
      <c r="K7" s="1" t="s">
        <v>405</v>
      </c>
      <c r="L7" s="1"/>
      <c r="M7" s="1" t="s">
        <v>137</v>
      </c>
    </row>
    <row r="8" spans="1:51" x14ac:dyDescent="0.2">
      <c r="B8" s="214" t="s">
        <v>421</v>
      </c>
      <c r="C8" s="73">
        <v>1</v>
      </c>
      <c r="D8" s="77" t="str">
        <f t="array" ref="D8:D120">vector.plans.names</f>
        <v>TV Básico Plus</v>
      </c>
      <c r="E8" s="144" t="str">
        <f>IFERROR(VLOOKUP($D8,Base!$B$7:$L$119,2,FALSE),"")</f>
        <v>Residencial</v>
      </c>
      <c r="F8" s="144" t="str">
        <f>IFERROR(VLOOKUP($D8,Base!$B$7:$L$119,3,FALSE),"")</f>
        <v>Solo STAR</v>
      </c>
      <c r="G8" s="236">
        <f>ROUNDUP(IFERROR(VLOOKUP($D8,Base!$B$7:$L$119,9,FALSE),""),0)</f>
        <v>153</v>
      </c>
      <c r="H8" s="236">
        <f>ROUNDUP(IFERROR(VLOOKUP($D8,Base!$B$7:$L$119,10,FALSE),""),0)</f>
        <v>0</v>
      </c>
      <c r="I8" s="236">
        <f>G8+H8</f>
        <v>153</v>
      </c>
      <c r="J8" s="191">
        <f>IFERROR(VLOOKUP($D8,Base!$B$7:$L$119,5,FALSE),"")</f>
        <v>1.2999999999999999E-3</v>
      </c>
      <c r="K8" s="192">
        <f>VLOOKUP(D8,Mercado!E149:$L$261,7,FALSE)</f>
        <v>739.33859999999993</v>
      </c>
      <c r="M8" s="126"/>
    </row>
    <row r="9" spans="1:51" x14ac:dyDescent="0.2">
      <c r="B9" s="214" t="s">
        <v>421</v>
      </c>
      <c r="C9" s="72">
        <f>1+C8</f>
        <v>2</v>
      </c>
      <c r="D9" s="77" t="str">
        <v>TV Básico Plus Negocio</v>
      </c>
      <c r="E9" s="144" t="str">
        <f>IFERROR(VLOOKUP($D9,Base!$B$7:$L$119,2,FALSE),"")</f>
        <v>Negocio</v>
      </c>
      <c r="F9" s="144" t="str">
        <f>IFERROR(VLOOKUP($D9,Base!$B$7:$L$119,3,FALSE),"")</f>
        <v>Solo STAR</v>
      </c>
      <c r="G9" s="236">
        <f>ROUNDUP(IFERROR(VLOOKUP($D9,Base!$B$7:$L$119,9,FALSE),""),0)</f>
        <v>153</v>
      </c>
      <c r="H9" s="236">
        <f>ROUNDUP(IFERROR(VLOOKUP($D9,Base!$B$7:$L$119,10,FALSE),""),0)</f>
        <v>0</v>
      </c>
      <c r="I9" s="236">
        <f t="shared" ref="I9:I72" si="0">G9+H9</f>
        <v>153</v>
      </c>
      <c r="J9" s="191">
        <f>IFERROR(VLOOKUP($D9,Base!$B$7:$L$119,5,FALSE),"")</f>
        <v>1E-4</v>
      </c>
      <c r="K9" s="192">
        <f>VLOOKUP(D9,Mercado!E150:$L$261,7,FALSE)</f>
        <v>56.872199999999999</v>
      </c>
      <c r="M9" s="126"/>
    </row>
    <row r="10" spans="1:51" x14ac:dyDescent="0.2">
      <c r="B10" s="214" t="s">
        <v>421</v>
      </c>
      <c r="C10" s="72">
        <f t="shared" ref="C10:C73" si="1">1+C9</f>
        <v>3</v>
      </c>
      <c r="D10" s="77" t="str">
        <v>TV Básico Plus + 100 Megas</v>
      </c>
      <c r="E10" s="144" t="str">
        <f>IFERROR(VLOOKUP($D10,Base!$B$7:$L$119,2,FALSE),"")</f>
        <v>Residencial</v>
      </c>
      <c r="F10" s="144" t="str">
        <f>IFERROR(VLOOKUP($D10,Base!$B$7:$L$119,3,FALSE),"")</f>
        <v>STAR + Internet fijo</v>
      </c>
      <c r="G10" s="236">
        <f>ROUNDUP(IFERROR(VLOOKUP($D10,Base!$B$7:$L$119,9,FALSE),""),0)</f>
        <v>153</v>
      </c>
      <c r="H10" s="236">
        <f>ROUNDUP(IFERROR(VLOOKUP($D10,Base!$B$7:$L$119,10,FALSE),""),0)</f>
        <v>0</v>
      </c>
      <c r="I10" s="236">
        <f t="shared" si="0"/>
        <v>153</v>
      </c>
      <c r="J10" s="191">
        <f>IFERROR(VLOOKUP($D10,Base!$B$7:$L$119,5,FALSE),"")</f>
        <v>5.0000000000000001E-4</v>
      </c>
      <c r="K10" s="192">
        <f>VLOOKUP(D10,Mercado!E151:$L$261,7,FALSE)</f>
        <v>284.36099999999999</v>
      </c>
      <c r="M10" s="126"/>
    </row>
    <row r="11" spans="1:51" x14ac:dyDescent="0.2">
      <c r="B11" s="214" t="s">
        <v>421</v>
      </c>
      <c r="C11" s="72">
        <f t="shared" si="1"/>
        <v>4</v>
      </c>
      <c r="D11" s="77" t="str">
        <v>TV Básico Plus + 100 Megas Simetrico</v>
      </c>
      <c r="E11" s="144" t="str">
        <f>IFERROR(VLOOKUP($D11,Base!$B$7:$L$119,2,FALSE),"")</f>
        <v>Residencial</v>
      </c>
      <c r="F11" s="144" t="str">
        <f>IFERROR(VLOOKUP($D11,Base!$B$7:$L$119,3,FALSE),"")</f>
        <v>STAR + Internet fijo</v>
      </c>
      <c r="G11" s="236">
        <f>ROUNDUP(IFERROR(VLOOKUP($D11,Base!$B$7:$L$119,9,FALSE),""),0)</f>
        <v>153</v>
      </c>
      <c r="H11" s="236">
        <f>ROUNDUP(IFERROR(VLOOKUP($D11,Base!$B$7:$L$119,10,FALSE),""),0)</f>
        <v>0</v>
      </c>
      <c r="I11" s="236">
        <f t="shared" si="0"/>
        <v>153</v>
      </c>
      <c r="J11" s="191">
        <f>IFERROR(VLOOKUP($D11,Base!$B$7:$L$119,5,FALSE),"")</f>
        <v>1E-4</v>
      </c>
      <c r="K11" s="192">
        <f>VLOOKUP(D11,Mercado!E152:$L$261,7,FALSE)</f>
        <v>56.872199999999999</v>
      </c>
      <c r="M11" s="126"/>
    </row>
    <row r="12" spans="1:51" x14ac:dyDescent="0.2">
      <c r="B12" s="214" t="s">
        <v>421</v>
      </c>
      <c r="C12" s="72">
        <f t="shared" si="1"/>
        <v>5</v>
      </c>
      <c r="D12" s="77" t="str">
        <v>TV Básico Plus + 1000 Megas</v>
      </c>
      <c r="E12" s="144" t="str">
        <f>IFERROR(VLOOKUP($D12,Base!$B$7:$L$119,2,FALSE),"")</f>
        <v>Residencial</v>
      </c>
      <c r="F12" s="144" t="str">
        <f>IFERROR(VLOOKUP($D12,Base!$B$7:$L$119,3,FALSE),"")</f>
        <v>STAR + Internet fijo</v>
      </c>
      <c r="G12" s="236">
        <f>ROUNDUP(IFERROR(VLOOKUP($D12,Base!$B$7:$L$119,9,FALSE),""),0)</f>
        <v>153</v>
      </c>
      <c r="H12" s="236">
        <f>ROUNDUP(IFERROR(VLOOKUP($D12,Base!$B$7:$L$119,10,FALSE),""),0)</f>
        <v>0</v>
      </c>
      <c r="I12" s="236">
        <f t="shared" si="0"/>
        <v>153</v>
      </c>
      <c r="J12" s="191">
        <f>IFERROR(VLOOKUP($D12,Base!$B$7:$L$119,5,FALSE),"")</f>
        <v>1E-4</v>
      </c>
      <c r="K12" s="192">
        <f>VLOOKUP(D12,Mercado!E153:$L$261,7,FALSE)</f>
        <v>56.872199999999999</v>
      </c>
      <c r="M12" s="126"/>
    </row>
    <row r="13" spans="1:51" x14ac:dyDescent="0.2">
      <c r="B13" s="214" t="s">
        <v>421</v>
      </c>
      <c r="C13" s="72">
        <f t="shared" si="1"/>
        <v>6</v>
      </c>
      <c r="D13" s="77" t="str">
        <v>TV Básico Plus + 250 Megas</v>
      </c>
      <c r="E13" s="144" t="str">
        <f>IFERROR(VLOOKUP($D13,Base!$B$7:$L$119,2,FALSE),"")</f>
        <v>Residencial</v>
      </c>
      <c r="F13" s="144" t="str">
        <f>IFERROR(VLOOKUP($D13,Base!$B$7:$L$119,3,FALSE),"")</f>
        <v>STAR + Internet fijo</v>
      </c>
      <c r="G13" s="236">
        <f>ROUNDUP(IFERROR(VLOOKUP($D13,Base!$B$7:$L$119,9,FALSE),""),0)</f>
        <v>153</v>
      </c>
      <c r="H13" s="236">
        <f>ROUNDUP(IFERROR(VLOOKUP($D13,Base!$B$7:$L$119,10,FALSE),""),0)</f>
        <v>0</v>
      </c>
      <c r="I13" s="236">
        <f t="shared" si="0"/>
        <v>153</v>
      </c>
      <c r="J13" s="191">
        <f>IFERROR(VLOOKUP($D13,Base!$B$7:$L$119,5,FALSE),"")</f>
        <v>4.4999999999999997E-3</v>
      </c>
      <c r="K13" s="192">
        <f>VLOOKUP(D13,Mercado!E154:$L$261,7,FALSE)</f>
        <v>2559.2489999999998</v>
      </c>
      <c r="M13" s="126"/>
    </row>
    <row r="14" spans="1:51" x14ac:dyDescent="0.2">
      <c r="B14" s="214" t="s">
        <v>421</v>
      </c>
      <c r="C14" s="72">
        <f t="shared" si="1"/>
        <v>7</v>
      </c>
      <c r="D14" s="77" t="str">
        <v>TV Básico Plus + 250 Megas Simetrico</v>
      </c>
      <c r="E14" s="144" t="str">
        <f>IFERROR(VLOOKUP($D14,Base!$B$7:$L$119,2,FALSE),"")</f>
        <v>Residencial</v>
      </c>
      <c r="F14" s="144" t="str">
        <f>IFERROR(VLOOKUP($D14,Base!$B$7:$L$119,3,FALSE),"")</f>
        <v>STAR + Internet fijo</v>
      </c>
      <c r="G14" s="236">
        <f>ROUNDUP(IFERROR(VLOOKUP($D14,Base!$B$7:$L$119,9,FALSE),""),0)</f>
        <v>153</v>
      </c>
      <c r="H14" s="236">
        <f>ROUNDUP(IFERROR(VLOOKUP($D14,Base!$B$7:$L$119,10,FALSE),""),0)</f>
        <v>0</v>
      </c>
      <c r="I14" s="236">
        <f t="shared" si="0"/>
        <v>153</v>
      </c>
      <c r="J14" s="191">
        <f>IFERROR(VLOOKUP($D14,Base!$B$7:$L$119,5,FALSE),"")</f>
        <v>0</v>
      </c>
      <c r="K14" s="192">
        <f>VLOOKUP(D14,Mercado!E155:$L$261,7,FALSE)</f>
        <v>0</v>
      </c>
      <c r="M14" s="126"/>
    </row>
    <row r="15" spans="1:51" x14ac:dyDescent="0.2">
      <c r="B15" s="214" t="s">
        <v>421</v>
      </c>
      <c r="C15" s="72">
        <f t="shared" si="1"/>
        <v>8</v>
      </c>
      <c r="D15" s="77" t="str">
        <v>TV Básico Plus + 500 Megas</v>
      </c>
      <c r="E15" s="144" t="str">
        <f>IFERROR(VLOOKUP($D15,Base!$B$7:$L$119,2,FALSE),"")</f>
        <v>Residencial</v>
      </c>
      <c r="F15" s="144" t="str">
        <f>IFERROR(VLOOKUP($D15,Base!$B$7:$L$119,3,FALSE),"")</f>
        <v>STAR + Internet fijo</v>
      </c>
      <c r="G15" s="236">
        <f>ROUNDUP(IFERROR(VLOOKUP($D15,Base!$B$7:$L$119,9,FALSE),""),0)</f>
        <v>153</v>
      </c>
      <c r="H15" s="236">
        <f>ROUNDUP(IFERROR(VLOOKUP($D15,Base!$B$7:$L$119,10,FALSE),""),0)</f>
        <v>0</v>
      </c>
      <c r="I15" s="236">
        <f t="shared" si="0"/>
        <v>153</v>
      </c>
      <c r="J15" s="191">
        <f>IFERROR(VLOOKUP($D15,Base!$B$7:$L$119,5,FALSE),"")</f>
        <v>3.7000000000000002E-3</v>
      </c>
      <c r="K15" s="192">
        <f>VLOOKUP(D15,Mercado!E156:$L$261,7,FALSE)</f>
        <v>2104.2714000000001</v>
      </c>
      <c r="M15" s="126"/>
    </row>
    <row r="16" spans="1:51" x14ac:dyDescent="0.2">
      <c r="B16" s="214" t="s">
        <v>421</v>
      </c>
      <c r="C16" s="72">
        <f t="shared" si="1"/>
        <v>9</v>
      </c>
      <c r="D16" s="77" t="str">
        <v>TV Básico Plus + 500 Megas Simetrico</v>
      </c>
      <c r="E16" s="144" t="str">
        <f>IFERROR(VLOOKUP($D16,Base!$B$7:$L$119,2,FALSE),"")</f>
        <v>Residencial</v>
      </c>
      <c r="F16" s="144" t="str">
        <f>IFERROR(VLOOKUP($D16,Base!$B$7:$L$119,3,FALSE),"")</f>
        <v>STAR + Internet fijo</v>
      </c>
      <c r="G16" s="236">
        <f>ROUNDUP(IFERROR(VLOOKUP($D16,Base!$B$7:$L$119,9,FALSE),""),0)</f>
        <v>153</v>
      </c>
      <c r="H16" s="236">
        <f>ROUNDUP(IFERROR(VLOOKUP($D16,Base!$B$7:$L$119,10,FALSE),""),0)</f>
        <v>0</v>
      </c>
      <c r="I16" s="236">
        <f t="shared" si="0"/>
        <v>153</v>
      </c>
      <c r="J16" s="191">
        <f>IFERROR(VLOOKUP($D16,Base!$B$7:$L$119,5,FALSE),"")</f>
        <v>0</v>
      </c>
      <c r="K16" s="192">
        <f>VLOOKUP(D16,Mercado!E157:$L$261,7,FALSE)</f>
        <v>0</v>
      </c>
      <c r="M16" s="126"/>
    </row>
    <row r="17" spans="2:13" x14ac:dyDescent="0.2">
      <c r="B17" s="214" t="s">
        <v>421</v>
      </c>
      <c r="C17" s="72">
        <f t="shared" si="1"/>
        <v>10</v>
      </c>
      <c r="D17" s="77" t="str">
        <v>TV Básico Plus + 60 Megas</v>
      </c>
      <c r="E17" s="144" t="str">
        <f>IFERROR(VLOOKUP($D17,Base!$B$7:$L$119,2,FALSE),"")</f>
        <v>Residencial</v>
      </c>
      <c r="F17" s="144" t="str">
        <f>IFERROR(VLOOKUP($D17,Base!$B$7:$L$119,3,FALSE),"")</f>
        <v>STAR + Internet fijo</v>
      </c>
      <c r="G17" s="236">
        <f>ROUNDUP(IFERROR(VLOOKUP($D17,Base!$B$7:$L$119,9,FALSE),""),0)</f>
        <v>153</v>
      </c>
      <c r="H17" s="236">
        <f>ROUNDUP(IFERROR(VLOOKUP($D17,Base!$B$7:$L$119,10,FALSE),""),0)</f>
        <v>0</v>
      </c>
      <c r="I17" s="236">
        <f t="shared" si="0"/>
        <v>153</v>
      </c>
      <c r="J17" s="191">
        <f>IFERROR(VLOOKUP($D17,Base!$B$7:$L$119,5,FALSE),"")</f>
        <v>1.2800000000000001E-2</v>
      </c>
      <c r="K17" s="192">
        <f>VLOOKUP(D17,Mercado!E158:$L$261,7,FALSE)</f>
        <v>7279.6415999999999</v>
      </c>
      <c r="M17" s="126"/>
    </row>
    <row r="18" spans="2:13" x14ac:dyDescent="0.2">
      <c r="B18" s="214" t="s">
        <v>421</v>
      </c>
      <c r="C18" s="72">
        <f t="shared" si="1"/>
        <v>11</v>
      </c>
      <c r="D18" s="77" t="str">
        <v>TV Básico Plus + 60 Megas Simetrico</v>
      </c>
      <c r="E18" s="144" t="str">
        <f>IFERROR(VLOOKUP($D18,Base!$B$7:$L$119,2,FALSE),"")</f>
        <v>Residencial</v>
      </c>
      <c r="F18" s="144" t="str">
        <f>IFERROR(VLOOKUP($D18,Base!$B$7:$L$119,3,FALSE),"")</f>
        <v>STAR + Internet fijo</v>
      </c>
      <c r="G18" s="236">
        <f>ROUNDUP(IFERROR(VLOOKUP($D18,Base!$B$7:$L$119,9,FALSE),""),0)</f>
        <v>153</v>
      </c>
      <c r="H18" s="236">
        <f>ROUNDUP(IFERROR(VLOOKUP($D18,Base!$B$7:$L$119,10,FALSE),""),0)</f>
        <v>0</v>
      </c>
      <c r="I18" s="236">
        <f t="shared" si="0"/>
        <v>153</v>
      </c>
      <c r="J18" s="191">
        <f>IFERROR(VLOOKUP($D18,Base!$B$7:$L$119,5,FALSE),"")</f>
        <v>0</v>
      </c>
      <c r="K18" s="192">
        <f>VLOOKUP(D18,Mercado!E159:$L$261,7,FALSE)</f>
        <v>0</v>
      </c>
      <c r="M18" s="126"/>
    </row>
    <row r="19" spans="2:13" x14ac:dyDescent="0.2">
      <c r="B19" s="214" t="s">
        <v>421</v>
      </c>
      <c r="C19" s="72">
        <f t="shared" si="1"/>
        <v>12</v>
      </c>
      <c r="D19" s="77" t="str">
        <v>TV Básico Plus + HD + Telefonía + 100 Megas</v>
      </c>
      <c r="E19" s="144" t="str">
        <f>IFERROR(VLOOKUP($D19,Base!$B$7:$L$119,2,FALSE),"")</f>
        <v>Residencial</v>
      </c>
      <c r="F19" s="144" t="str">
        <f>IFERROR(VLOOKUP($D19,Base!$B$7:$L$119,3,FALSE),"")</f>
        <v>STAR + Internet fijo + Telefonía fija</v>
      </c>
      <c r="G19" s="236">
        <f>ROUNDUP(IFERROR(VLOOKUP($D19,Base!$B$7:$L$119,9,FALSE),""),0)</f>
        <v>121</v>
      </c>
      <c r="H19" s="236">
        <f>ROUNDUP(IFERROR(VLOOKUP($D19,Base!$B$7:$L$119,10,FALSE),""),0)</f>
        <v>97</v>
      </c>
      <c r="I19" s="236">
        <f t="shared" si="0"/>
        <v>218</v>
      </c>
      <c r="J19" s="191">
        <f>IFERROR(VLOOKUP($D19,Base!$B$7:$L$119,5,FALSE),"")</f>
        <v>0</v>
      </c>
      <c r="K19" s="192">
        <f>VLOOKUP(D19,Mercado!E160:$L$261,7,FALSE)</f>
        <v>0</v>
      </c>
      <c r="M19" s="126"/>
    </row>
    <row r="20" spans="2:13" x14ac:dyDescent="0.2">
      <c r="B20" s="214" t="s">
        <v>421</v>
      </c>
      <c r="C20" s="72">
        <f t="shared" si="1"/>
        <v>13</v>
      </c>
      <c r="D20" s="77" t="str">
        <v>TV Básico Plus + HD + Telefonía + 100 Megas Simetrico</v>
      </c>
      <c r="E20" s="144" t="str">
        <f>IFERROR(VLOOKUP($D20,Base!$B$7:$L$119,2,FALSE),"")</f>
        <v>Residencial</v>
      </c>
      <c r="F20" s="144" t="str">
        <f>IFERROR(VLOOKUP($D20,Base!$B$7:$L$119,3,FALSE),"")</f>
        <v>STAR + Internet fijo + Telefonía fija</v>
      </c>
      <c r="G20" s="236">
        <f>ROUNDUP(IFERROR(VLOOKUP($D20,Base!$B$7:$L$119,9,FALSE),""),0)</f>
        <v>121</v>
      </c>
      <c r="H20" s="236">
        <f>ROUNDUP(IFERROR(VLOOKUP($D20,Base!$B$7:$L$119,10,FALSE),""),0)</f>
        <v>97</v>
      </c>
      <c r="I20" s="236">
        <f t="shared" si="0"/>
        <v>218</v>
      </c>
      <c r="J20" s="191">
        <f>IFERROR(VLOOKUP($D20,Base!$B$7:$L$119,5,FALSE),"")</f>
        <v>0</v>
      </c>
      <c r="K20" s="192">
        <f>VLOOKUP(D20,Mercado!E161:$L$261,7,FALSE)</f>
        <v>0</v>
      </c>
      <c r="M20" s="126"/>
    </row>
    <row r="21" spans="2:13" x14ac:dyDescent="0.2">
      <c r="B21" s="214" t="s">
        <v>421</v>
      </c>
      <c r="C21" s="72">
        <f t="shared" si="1"/>
        <v>14</v>
      </c>
      <c r="D21" s="77" t="str">
        <v>TV Básico Plus + HD + Telefonía + 1000 Megas</v>
      </c>
      <c r="E21" s="144" t="str">
        <f>IFERROR(VLOOKUP($D21,Base!$B$7:$L$119,2,FALSE),"")</f>
        <v>Residencial</v>
      </c>
      <c r="F21" s="144" t="str">
        <f>IFERROR(VLOOKUP($D21,Base!$B$7:$L$119,3,FALSE),"")</f>
        <v>STAR + Internet fijo + Telefonía fija</v>
      </c>
      <c r="G21" s="236">
        <f>ROUNDUP(IFERROR(VLOOKUP($D21,Base!$B$7:$L$119,9,FALSE),""),0)</f>
        <v>121</v>
      </c>
      <c r="H21" s="236">
        <f>ROUNDUP(IFERROR(VLOOKUP($D21,Base!$B$7:$L$119,10,FALSE),""),0)</f>
        <v>97</v>
      </c>
      <c r="I21" s="236">
        <f t="shared" si="0"/>
        <v>218</v>
      </c>
      <c r="J21" s="191">
        <f>IFERROR(VLOOKUP($D21,Base!$B$7:$L$119,5,FALSE),"")</f>
        <v>0</v>
      </c>
      <c r="K21" s="192">
        <f>VLOOKUP(D21,Mercado!E162:$L$261,7,FALSE)</f>
        <v>0</v>
      </c>
      <c r="M21" s="126"/>
    </row>
    <row r="22" spans="2:13" x14ac:dyDescent="0.2">
      <c r="B22" s="214" t="s">
        <v>421</v>
      </c>
      <c r="C22" s="72">
        <f t="shared" si="1"/>
        <v>15</v>
      </c>
      <c r="D22" s="77" t="str">
        <v>TV Básico Plus + HD + Telefonía + 250 Megas</v>
      </c>
      <c r="E22" s="144" t="str">
        <f>IFERROR(VLOOKUP($D22,Base!$B$7:$L$119,2,FALSE),"")</f>
        <v>Residencial</v>
      </c>
      <c r="F22" s="144" t="str">
        <f>IFERROR(VLOOKUP($D22,Base!$B$7:$L$119,3,FALSE),"")</f>
        <v>STAR + Internet fijo + Telefonía fija</v>
      </c>
      <c r="G22" s="236">
        <f>ROUNDUP(IFERROR(VLOOKUP($D22,Base!$B$7:$L$119,9,FALSE),""),0)</f>
        <v>121</v>
      </c>
      <c r="H22" s="236">
        <f>ROUNDUP(IFERROR(VLOOKUP($D22,Base!$B$7:$L$119,10,FALSE),""),0)</f>
        <v>97</v>
      </c>
      <c r="I22" s="236">
        <f t="shared" si="0"/>
        <v>218</v>
      </c>
      <c r="J22" s="191">
        <f>IFERROR(VLOOKUP($D22,Base!$B$7:$L$119,5,FALSE),"")</f>
        <v>0</v>
      </c>
      <c r="K22" s="192">
        <f>VLOOKUP(D22,Mercado!E163:$L$261,7,FALSE)</f>
        <v>0</v>
      </c>
      <c r="M22" s="126"/>
    </row>
    <row r="23" spans="2:13" x14ac:dyDescent="0.2">
      <c r="B23" s="214" t="s">
        <v>421</v>
      </c>
      <c r="C23" s="72">
        <f t="shared" si="1"/>
        <v>16</v>
      </c>
      <c r="D23" s="77" t="str">
        <v>TV Básico Plus + HD + Telefonía + 250 Megas Simetrico</v>
      </c>
      <c r="E23" s="144" t="str">
        <f>IFERROR(VLOOKUP($D23,Base!$B$7:$L$119,2,FALSE),"")</f>
        <v>Residencial</v>
      </c>
      <c r="F23" s="144" t="str">
        <f>IFERROR(VLOOKUP($D23,Base!$B$7:$L$119,3,FALSE),"")</f>
        <v>STAR + Internet fijo + Telefonía fija</v>
      </c>
      <c r="G23" s="236">
        <f>ROUNDUP(IFERROR(VLOOKUP($D23,Base!$B$7:$L$119,9,FALSE),""),0)</f>
        <v>121</v>
      </c>
      <c r="H23" s="236">
        <f>ROUNDUP(IFERROR(VLOOKUP($D23,Base!$B$7:$L$119,10,FALSE),""),0)</f>
        <v>97</v>
      </c>
      <c r="I23" s="236">
        <f t="shared" si="0"/>
        <v>218</v>
      </c>
      <c r="J23" s="191">
        <f>IFERROR(VLOOKUP($D23,Base!$B$7:$L$119,5,FALSE),"")</f>
        <v>0</v>
      </c>
      <c r="K23" s="192">
        <f>VLOOKUP(D23,Mercado!E164:$L$261,7,FALSE)</f>
        <v>0</v>
      </c>
      <c r="M23" s="126"/>
    </row>
    <row r="24" spans="2:13" x14ac:dyDescent="0.2">
      <c r="B24" s="214" t="s">
        <v>421</v>
      </c>
      <c r="C24" s="72">
        <f t="shared" si="1"/>
        <v>17</v>
      </c>
      <c r="D24" s="77" t="str">
        <v>TV Básico Plus + HD + Telefonía + 500 Megas</v>
      </c>
      <c r="E24" s="144" t="str">
        <f>IFERROR(VLOOKUP($D24,Base!$B$7:$L$119,2,FALSE),"")</f>
        <v>Residencial</v>
      </c>
      <c r="F24" s="144" t="str">
        <f>IFERROR(VLOOKUP($D24,Base!$B$7:$L$119,3,FALSE),"")</f>
        <v>STAR + Internet fijo + Telefonía fija</v>
      </c>
      <c r="G24" s="236">
        <f>ROUNDUP(IFERROR(VLOOKUP($D24,Base!$B$7:$L$119,9,FALSE),""),0)</f>
        <v>121</v>
      </c>
      <c r="H24" s="236">
        <f>ROUNDUP(IFERROR(VLOOKUP($D24,Base!$B$7:$L$119,10,FALSE),""),0)</f>
        <v>97</v>
      </c>
      <c r="I24" s="236">
        <f t="shared" si="0"/>
        <v>218</v>
      </c>
      <c r="J24" s="191">
        <f>IFERROR(VLOOKUP($D24,Base!$B$7:$L$119,5,FALSE),"")</f>
        <v>0</v>
      </c>
      <c r="K24" s="192">
        <f>VLOOKUP(D24,Mercado!E165:$L$261,7,FALSE)</f>
        <v>0</v>
      </c>
      <c r="M24" s="126"/>
    </row>
    <row r="25" spans="2:13" x14ac:dyDescent="0.2">
      <c r="B25" s="214" t="s">
        <v>421</v>
      </c>
      <c r="C25" s="72">
        <f t="shared" si="1"/>
        <v>18</v>
      </c>
      <c r="D25" s="77" t="str">
        <v>TV Básico Plus + HD + Telefonía + 500 Megas Simetrico</v>
      </c>
      <c r="E25" s="144" t="str">
        <f>IFERROR(VLOOKUP($D25,Base!$B$7:$L$119,2,FALSE),"")</f>
        <v>Residencial</v>
      </c>
      <c r="F25" s="144" t="str">
        <f>IFERROR(VLOOKUP($D25,Base!$B$7:$L$119,3,FALSE),"")</f>
        <v>STAR + Internet fijo + Telefonía fija</v>
      </c>
      <c r="G25" s="236">
        <f>ROUNDUP(IFERROR(VLOOKUP($D25,Base!$B$7:$L$119,9,FALSE),""),0)</f>
        <v>121</v>
      </c>
      <c r="H25" s="236">
        <f>ROUNDUP(IFERROR(VLOOKUP($D25,Base!$B$7:$L$119,10,FALSE),""),0)</f>
        <v>97</v>
      </c>
      <c r="I25" s="236">
        <f t="shared" si="0"/>
        <v>218</v>
      </c>
      <c r="J25" s="191">
        <f>IFERROR(VLOOKUP($D25,Base!$B$7:$L$119,5,FALSE),"")</f>
        <v>0</v>
      </c>
      <c r="K25" s="192">
        <f>VLOOKUP(D25,Mercado!E166:$L$261,7,FALSE)</f>
        <v>0</v>
      </c>
      <c r="M25" s="126"/>
    </row>
    <row r="26" spans="2:13" x14ac:dyDescent="0.2">
      <c r="B26" s="214" t="s">
        <v>421</v>
      </c>
      <c r="C26" s="72">
        <f t="shared" si="1"/>
        <v>19</v>
      </c>
      <c r="D26" s="77" t="str">
        <v>TV Básico Plus + HD + Telefonía + 60 Megas</v>
      </c>
      <c r="E26" s="144" t="str">
        <f>IFERROR(VLOOKUP($D26,Base!$B$7:$L$119,2,FALSE),"")</f>
        <v>Residencial</v>
      </c>
      <c r="F26" s="144" t="str">
        <f>IFERROR(VLOOKUP($D26,Base!$B$7:$L$119,3,FALSE),"")</f>
        <v>STAR + Internet fijo + Telefonía fija</v>
      </c>
      <c r="G26" s="236">
        <f>ROUNDUP(IFERROR(VLOOKUP($D26,Base!$B$7:$L$119,9,FALSE),""),0)</f>
        <v>121</v>
      </c>
      <c r="H26" s="236">
        <f>ROUNDUP(IFERROR(VLOOKUP($D26,Base!$B$7:$L$119,10,FALSE),""),0)</f>
        <v>97</v>
      </c>
      <c r="I26" s="236">
        <f t="shared" si="0"/>
        <v>218</v>
      </c>
      <c r="J26" s="191">
        <f>IFERROR(VLOOKUP($D26,Base!$B$7:$L$119,5,FALSE),"")</f>
        <v>0</v>
      </c>
      <c r="K26" s="192">
        <f>VLOOKUP(D26,Mercado!E167:$L$261,7,FALSE)</f>
        <v>0</v>
      </c>
      <c r="M26" s="126"/>
    </row>
    <row r="27" spans="2:13" x14ac:dyDescent="0.2">
      <c r="B27" s="214" t="s">
        <v>421</v>
      </c>
      <c r="C27" s="72">
        <f t="shared" si="1"/>
        <v>20</v>
      </c>
      <c r="D27" s="77" t="str">
        <v>TV Básico Plus + HD + Telefonía + 60 Megas Simetrico</v>
      </c>
      <c r="E27" s="144" t="str">
        <f>IFERROR(VLOOKUP($D27,Base!$B$7:$L$119,2,FALSE),"")</f>
        <v>Residencial</v>
      </c>
      <c r="F27" s="144" t="str">
        <f>IFERROR(VLOOKUP($D27,Base!$B$7:$L$119,3,FALSE),"")</f>
        <v>STAR + Internet fijo + Telefonía fija</v>
      </c>
      <c r="G27" s="236">
        <f>ROUNDUP(IFERROR(VLOOKUP($D27,Base!$B$7:$L$119,9,FALSE),""),0)</f>
        <v>121</v>
      </c>
      <c r="H27" s="236">
        <f>ROUNDUP(IFERROR(VLOOKUP($D27,Base!$B$7:$L$119,10,FALSE),""),0)</f>
        <v>97</v>
      </c>
      <c r="I27" s="236">
        <f t="shared" si="0"/>
        <v>218</v>
      </c>
      <c r="J27" s="191">
        <f>IFERROR(VLOOKUP($D27,Base!$B$7:$L$119,5,FALSE),"")</f>
        <v>0</v>
      </c>
      <c r="K27" s="192">
        <f>VLOOKUP(D27,Mercado!E168:$L$261,7,FALSE)</f>
        <v>0</v>
      </c>
      <c r="M27" s="126"/>
    </row>
    <row r="28" spans="2:13" x14ac:dyDescent="0.2">
      <c r="B28" s="214" t="s">
        <v>421</v>
      </c>
      <c r="C28" s="72">
        <f t="shared" si="1"/>
        <v>21</v>
      </c>
      <c r="D28" s="77" t="str">
        <v>TV Básico Plus + HD Negocio + Telefonía Negocio + 100 Megas Negocio</v>
      </c>
      <c r="E28" s="144" t="str">
        <f>IFERROR(VLOOKUP($D28,Base!$B$7:$L$119,2,FALSE),"")</f>
        <v>Negocio</v>
      </c>
      <c r="F28" s="144" t="str">
        <f>IFERROR(VLOOKUP($D28,Base!$B$7:$L$119,3,FALSE),"")</f>
        <v>STAR + Internet fijo + Telefonía fija</v>
      </c>
      <c r="G28" s="236">
        <f>ROUNDUP(IFERROR(VLOOKUP($D28,Base!$B$7:$L$119,9,FALSE),""),0)</f>
        <v>121</v>
      </c>
      <c r="H28" s="236">
        <f>ROUNDUP(IFERROR(VLOOKUP($D28,Base!$B$7:$L$119,10,FALSE),""),0)</f>
        <v>97</v>
      </c>
      <c r="I28" s="236">
        <f t="shared" si="0"/>
        <v>218</v>
      </c>
      <c r="J28" s="191">
        <f>IFERROR(VLOOKUP($D28,Base!$B$7:$L$119,5,FALSE),"")</f>
        <v>0</v>
      </c>
      <c r="K28" s="192">
        <f>VLOOKUP(D28,Mercado!E169:$L$261,7,FALSE)</f>
        <v>0</v>
      </c>
      <c r="M28" s="126"/>
    </row>
    <row r="29" spans="2:13" x14ac:dyDescent="0.2">
      <c r="B29" s="214" t="s">
        <v>421</v>
      </c>
      <c r="C29" s="72">
        <f t="shared" si="1"/>
        <v>22</v>
      </c>
      <c r="D29" s="77" t="str">
        <v>TV Básico Plus + HD Negocio + Telefonía Negocio + 100 Megas Simetrico Negocio</v>
      </c>
      <c r="E29" s="144" t="str">
        <f>IFERROR(VLOOKUP($D29,Base!$B$7:$L$119,2,FALSE),"")</f>
        <v>Negocio</v>
      </c>
      <c r="F29" s="144" t="str">
        <f>IFERROR(VLOOKUP($D29,Base!$B$7:$L$119,3,FALSE),"")</f>
        <v>STAR + Internet fijo + Telefonía fija</v>
      </c>
      <c r="G29" s="236">
        <f>ROUNDUP(IFERROR(VLOOKUP($D29,Base!$B$7:$L$119,9,FALSE),""),0)</f>
        <v>121</v>
      </c>
      <c r="H29" s="236">
        <f>ROUNDUP(IFERROR(VLOOKUP($D29,Base!$B$7:$L$119,10,FALSE),""),0)</f>
        <v>97</v>
      </c>
      <c r="I29" s="236">
        <f t="shared" si="0"/>
        <v>218</v>
      </c>
      <c r="J29" s="191">
        <f>IFERROR(VLOOKUP($D29,Base!$B$7:$L$119,5,FALSE),"")</f>
        <v>0</v>
      </c>
      <c r="K29" s="192">
        <f>VLOOKUP(D29,Mercado!E170:$L$261,7,FALSE)</f>
        <v>0</v>
      </c>
      <c r="M29" s="126"/>
    </row>
    <row r="30" spans="2:13" x14ac:dyDescent="0.2">
      <c r="B30" s="214" t="s">
        <v>421</v>
      </c>
      <c r="C30" s="72">
        <f t="shared" si="1"/>
        <v>23</v>
      </c>
      <c r="D30" s="77" t="str">
        <v>TV Básico Plus + HD Negocio + Telefonía Negocio + 1000 Megas Negocio</v>
      </c>
      <c r="E30" s="144" t="str">
        <f>IFERROR(VLOOKUP($D30,Base!$B$7:$L$119,2,FALSE),"")</f>
        <v>Negocio</v>
      </c>
      <c r="F30" s="144" t="str">
        <f>IFERROR(VLOOKUP($D30,Base!$B$7:$L$119,3,FALSE),"")</f>
        <v>STAR + Internet fijo + Telefonía fija</v>
      </c>
      <c r="G30" s="236">
        <f>ROUNDUP(IFERROR(VLOOKUP($D30,Base!$B$7:$L$119,9,FALSE),""),0)</f>
        <v>121</v>
      </c>
      <c r="H30" s="236">
        <f>ROUNDUP(IFERROR(VLOOKUP($D30,Base!$B$7:$L$119,10,FALSE),""),0)</f>
        <v>97</v>
      </c>
      <c r="I30" s="236">
        <f t="shared" si="0"/>
        <v>218</v>
      </c>
      <c r="J30" s="191">
        <f>IFERROR(VLOOKUP($D30,Base!$B$7:$L$119,5,FALSE),"")</f>
        <v>0</v>
      </c>
      <c r="K30" s="192">
        <f>VLOOKUP(D30,Mercado!E171:$L$261,7,FALSE)</f>
        <v>0</v>
      </c>
      <c r="M30" s="126"/>
    </row>
    <row r="31" spans="2:13" x14ac:dyDescent="0.2">
      <c r="B31" s="214" t="s">
        <v>421</v>
      </c>
      <c r="C31" s="72">
        <f t="shared" si="1"/>
        <v>24</v>
      </c>
      <c r="D31" s="77" t="str">
        <v>TV Básico Plus + HD Negocio + Telefonía Negocio + 250 Megas Negocio</v>
      </c>
      <c r="E31" s="144" t="str">
        <f>IFERROR(VLOOKUP($D31,Base!$B$7:$L$119,2,FALSE),"")</f>
        <v>Negocio</v>
      </c>
      <c r="F31" s="144" t="str">
        <f>IFERROR(VLOOKUP($D31,Base!$B$7:$L$119,3,FALSE),"")</f>
        <v>STAR + Internet fijo + Telefonía fija</v>
      </c>
      <c r="G31" s="236">
        <f>ROUNDUP(IFERROR(VLOOKUP($D31,Base!$B$7:$L$119,9,FALSE),""),0)</f>
        <v>121</v>
      </c>
      <c r="H31" s="236">
        <f>ROUNDUP(IFERROR(VLOOKUP($D31,Base!$B$7:$L$119,10,FALSE),""),0)</f>
        <v>97</v>
      </c>
      <c r="I31" s="236">
        <f t="shared" si="0"/>
        <v>218</v>
      </c>
      <c r="J31" s="191">
        <f>IFERROR(VLOOKUP($D31,Base!$B$7:$L$119,5,FALSE),"")</f>
        <v>0</v>
      </c>
      <c r="K31" s="192">
        <f>VLOOKUP(D31,Mercado!E172:$L$261,7,FALSE)</f>
        <v>0</v>
      </c>
      <c r="M31" s="126"/>
    </row>
    <row r="32" spans="2:13" x14ac:dyDescent="0.2">
      <c r="B32" s="214" t="s">
        <v>421</v>
      </c>
      <c r="C32" s="72">
        <f t="shared" si="1"/>
        <v>25</v>
      </c>
      <c r="D32" s="77" t="str">
        <v>TV Básico Plus + HD Negocio + Telefonía Negocio + 250 Megas Simetrico Negocio</v>
      </c>
      <c r="E32" s="144" t="str">
        <f>IFERROR(VLOOKUP($D32,Base!$B$7:$L$119,2,FALSE),"")</f>
        <v>Negocio</v>
      </c>
      <c r="F32" s="144" t="str">
        <f>IFERROR(VLOOKUP($D32,Base!$B$7:$L$119,3,FALSE),"")</f>
        <v>STAR + Internet fijo + Telefonía fija</v>
      </c>
      <c r="G32" s="236">
        <f>ROUNDUP(IFERROR(VLOOKUP($D32,Base!$B$7:$L$119,9,FALSE),""),0)</f>
        <v>121</v>
      </c>
      <c r="H32" s="236">
        <f>ROUNDUP(IFERROR(VLOOKUP($D32,Base!$B$7:$L$119,10,FALSE),""),0)</f>
        <v>97</v>
      </c>
      <c r="I32" s="236">
        <f t="shared" si="0"/>
        <v>218</v>
      </c>
      <c r="J32" s="191">
        <f>IFERROR(VLOOKUP($D32,Base!$B$7:$L$119,5,FALSE),"")</f>
        <v>0</v>
      </c>
      <c r="K32" s="192">
        <f>VLOOKUP(D32,Mercado!E173:$L$261,7,FALSE)</f>
        <v>0</v>
      </c>
      <c r="M32" s="126"/>
    </row>
    <row r="33" spans="2:13" x14ac:dyDescent="0.2">
      <c r="B33" s="214" t="s">
        <v>421</v>
      </c>
      <c r="C33" s="72">
        <f t="shared" si="1"/>
        <v>26</v>
      </c>
      <c r="D33" s="77" t="str">
        <v>TV Básico Plus + HD Negocio + Telefonía Negocio + 500 Megas Negocio</v>
      </c>
      <c r="E33" s="144" t="str">
        <f>IFERROR(VLOOKUP($D33,Base!$B$7:$L$119,2,FALSE),"")</f>
        <v>Negocio</v>
      </c>
      <c r="F33" s="144" t="str">
        <f>IFERROR(VLOOKUP($D33,Base!$B$7:$L$119,3,FALSE),"")</f>
        <v>STAR + Internet fijo + Telefonía fija</v>
      </c>
      <c r="G33" s="236">
        <f>ROUNDUP(IFERROR(VLOOKUP($D33,Base!$B$7:$L$119,9,FALSE),""),0)</f>
        <v>121</v>
      </c>
      <c r="H33" s="236">
        <f>ROUNDUP(IFERROR(VLOOKUP($D33,Base!$B$7:$L$119,10,FALSE),""),0)</f>
        <v>97</v>
      </c>
      <c r="I33" s="236">
        <f t="shared" si="0"/>
        <v>218</v>
      </c>
      <c r="J33" s="191">
        <f>IFERROR(VLOOKUP($D33,Base!$B$7:$L$119,5,FALSE),"")</f>
        <v>0</v>
      </c>
      <c r="K33" s="192">
        <f>VLOOKUP(D33,Mercado!E174:$L$261,7,FALSE)</f>
        <v>0</v>
      </c>
      <c r="M33" s="126"/>
    </row>
    <row r="34" spans="2:13" x14ac:dyDescent="0.2">
      <c r="B34" s="214" t="s">
        <v>421</v>
      </c>
      <c r="C34" s="72">
        <f t="shared" si="1"/>
        <v>27</v>
      </c>
      <c r="D34" s="77" t="str">
        <v>TV Básico Plus + HD Negocio + Telefonía Negocio + 500 Megas Simetrico Negocio</v>
      </c>
      <c r="E34" s="144" t="str">
        <f>IFERROR(VLOOKUP($D34,Base!$B$7:$L$119,2,FALSE),"")</f>
        <v>Negocio</v>
      </c>
      <c r="F34" s="144" t="str">
        <f>IFERROR(VLOOKUP($D34,Base!$B$7:$L$119,3,FALSE),"")</f>
        <v>STAR + Internet fijo + Telefonía fija</v>
      </c>
      <c r="G34" s="236">
        <f>ROUNDUP(IFERROR(VLOOKUP($D34,Base!$B$7:$L$119,9,FALSE),""),0)</f>
        <v>121</v>
      </c>
      <c r="H34" s="236">
        <f>ROUNDUP(IFERROR(VLOOKUP($D34,Base!$B$7:$L$119,10,FALSE),""),0)</f>
        <v>97</v>
      </c>
      <c r="I34" s="236">
        <f t="shared" si="0"/>
        <v>218</v>
      </c>
      <c r="J34" s="191">
        <f>IFERROR(VLOOKUP($D34,Base!$B$7:$L$119,5,FALSE),"")</f>
        <v>0</v>
      </c>
      <c r="K34" s="192">
        <f>VLOOKUP(D34,Mercado!E175:$L$261,7,FALSE)</f>
        <v>0</v>
      </c>
      <c r="M34" s="126"/>
    </row>
    <row r="35" spans="2:13" x14ac:dyDescent="0.2">
      <c r="B35" s="214" t="s">
        <v>421</v>
      </c>
      <c r="C35" s="72">
        <f t="shared" si="1"/>
        <v>28</v>
      </c>
      <c r="D35" s="77" t="str">
        <v>TV Básico Plus + HD Negocio + Telefonía Negocio + 60 Megas Negocio</v>
      </c>
      <c r="E35" s="144" t="str">
        <f>IFERROR(VLOOKUP($D35,Base!$B$7:$L$119,2,FALSE),"")</f>
        <v>Negocio</v>
      </c>
      <c r="F35" s="144" t="str">
        <f>IFERROR(VLOOKUP($D35,Base!$B$7:$L$119,3,FALSE),"")</f>
        <v>STAR + Internet fijo + Telefonía fija</v>
      </c>
      <c r="G35" s="236">
        <f>ROUNDUP(IFERROR(VLOOKUP($D35,Base!$B$7:$L$119,9,FALSE),""),0)</f>
        <v>121</v>
      </c>
      <c r="H35" s="236">
        <f>ROUNDUP(IFERROR(VLOOKUP($D35,Base!$B$7:$L$119,10,FALSE),""),0)</f>
        <v>97</v>
      </c>
      <c r="I35" s="236">
        <f t="shared" si="0"/>
        <v>218</v>
      </c>
      <c r="J35" s="191">
        <f>IFERROR(VLOOKUP($D35,Base!$B$7:$L$119,5,FALSE),"")</f>
        <v>0</v>
      </c>
      <c r="K35" s="192">
        <f>VLOOKUP(D35,Mercado!E176:$L$261,7,FALSE)</f>
        <v>0</v>
      </c>
      <c r="M35" s="126"/>
    </row>
    <row r="36" spans="2:13" x14ac:dyDescent="0.2">
      <c r="B36" s="214" t="s">
        <v>421</v>
      </c>
      <c r="C36" s="72">
        <f t="shared" si="1"/>
        <v>29</v>
      </c>
      <c r="D36" s="77" t="str">
        <v>TV Básico Plus + HD Negocio + Telefonía Negocio + 60 Megas Simetrico Negocio</v>
      </c>
      <c r="E36" s="144" t="str">
        <f>IFERROR(VLOOKUP($D36,Base!$B$7:$L$119,2,FALSE),"")</f>
        <v>Negocio</v>
      </c>
      <c r="F36" s="144" t="str">
        <f>IFERROR(VLOOKUP($D36,Base!$B$7:$L$119,3,FALSE),"")</f>
        <v>STAR + Internet fijo + Telefonía fija</v>
      </c>
      <c r="G36" s="236">
        <f>ROUNDUP(IFERROR(VLOOKUP($D36,Base!$B$7:$L$119,9,FALSE),""),0)</f>
        <v>121</v>
      </c>
      <c r="H36" s="236">
        <f>ROUNDUP(IFERROR(VLOOKUP($D36,Base!$B$7:$L$119,10,FALSE),""),0)</f>
        <v>97</v>
      </c>
      <c r="I36" s="236">
        <f t="shared" si="0"/>
        <v>218</v>
      </c>
      <c r="J36" s="191">
        <f>IFERROR(VLOOKUP($D36,Base!$B$7:$L$119,5,FALSE),"")</f>
        <v>0</v>
      </c>
      <c r="K36" s="192">
        <f>VLOOKUP(D36,Mercado!E177:$L$261,7,FALSE)</f>
        <v>0</v>
      </c>
      <c r="M36" s="126"/>
    </row>
    <row r="37" spans="2:13" x14ac:dyDescent="0.2">
      <c r="B37" s="214" t="s">
        <v>421</v>
      </c>
      <c r="C37" s="72">
        <f t="shared" si="1"/>
        <v>30</v>
      </c>
      <c r="D37" s="77" t="str">
        <v>TV Básico Plus Negocio + 100 Megas Negocio</v>
      </c>
      <c r="E37" s="144" t="str">
        <f>IFERROR(VLOOKUP($D37,Base!$B$7:$L$119,2,FALSE),"")</f>
        <v>Negocio</v>
      </c>
      <c r="F37" s="144" t="str">
        <f>IFERROR(VLOOKUP($D37,Base!$B$7:$L$119,3,FALSE),"")</f>
        <v>STAR + Internet fijo</v>
      </c>
      <c r="G37" s="236">
        <f>ROUNDUP(IFERROR(VLOOKUP($D37,Base!$B$7:$L$119,9,FALSE),""),0)</f>
        <v>153</v>
      </c>
      <c r="H37" s="236">
        <f>ROUNDUP(IFERROR(VLOOKUP($D37,Base!$B$7:$L$119,10,FALSE),""),0)</f>
        <v>0</v>
      </c>
      <c r="I37" s="236">
        <f t="shared" si="0"/>
        <v>153</v>
      </c>
      <c r="J37" s="191">
        <f>IFERROR(VLOOKUP($D37,Base!$B$7:$L$119,5,FALSE),"")</f>
        <v>1E-4</v>
      </c>
      <c r="K37" s="192">
        <f>VLOOKUP(D37,Mercado!E178:$L$261,7,FALSE)</f>
        <v>56.872199999999999</v>
      </c>
      <c r="M37" s="126"/>
    </row>
    <row r="38" spans="2:13" x14ac:dyDescent="0.2">
      <c r="B38" s="214" t="s">
        <v>421</v>
      </c>
      <c r="C38" s="72">
        <f t="shared" si="1"/>
        <v>31</v>
      </c>
      <c r="D38" s="77" t="str">
        <v>TV Básico Plus Negocio + 100 Megas Simetrico Negocio</v>
      </c>
      <c r="E38" s="144" t="str">
        <f>IFERROR(VLOOKUP($D38,Base!$B$7:$L$119,2,FALSE),"")</f>
        <v>Negocio</v>
      </c>
      <c r="F38" s="144" t="str">
        <f>IFERROR(VLOOKUP($D38,Base!$B$7:$L$119,3,FALSE),"")</f>
        <v>STAR + Internet fijo</v>
      </c>
      <c r="G38" s="236">
        <f>ROUNDUP(IFERROR(VLOOKUP($D38,Base!$B$7:$L$119,9,FALSE),""),0)</f>
        <v>153</v>
      </c>
      <c r="H38" s="236">
        <f>ROUNDUP(IFERROR(VLOOKUP($D38,Base!$B$7:$L$119,10,FALSE),""),0)</f>
        <v>0</v>
      </c>
      <c r="I38" s="236">
        <f t="shared" si="0"/>
        <v>153</v>
      </c>
      <c r="J38" s="191">
        <f>IFERROR(VLOOKUP($D38,Base!$B$7:$L$119,5,FALSE),"")</f>
        <v>0</v>
      </c>
      <c r="K38" s="192">
        <f>VLOOKUP(D38,Mercado!E179:$L$261,7,FALSE)</f>
        <v>0</v>
      </c>
      <c r="M38" s="126"/>
    </row>
    <row r="39" spans="2:13" x14ac:dyDescent="0.2">
      <c r="B39" s="214" t="s">
        <v>421</v>
      </c>
      <c r="C39" s="72">
        <f t="shared" si="1"/>
        <v>32</v>
      </c>
      <c r="D39" s="77" t="str">
        <v>TV Básico Plus Negocio + 1000 Megas Negocio</v>
      </c>
      <c r="E39" s="144" t="str">
        <f>IFERROR(VLOOKUP($D39,Base!$B$7:$L$119,2,FALSE),"")</f>
        <v>Negocio</v>
      </c>
      <c r="F39" s="144" t="str">
        <f>IFERROR(VLOOKUP($D39,Base!$B$7:$L$119,3,FALSE),"")</f>
        <v>STAR + Internet fijo</v>
      </c>
      <c r="G39" s="236">
        <f>ROUNDUP(IFERROR(VLOOKUP($D39,Base!$B$7:$L$119,9,FALSE),""),0)</f>
        <v>153</v>
      </c>
      <c r="H39" s="236">
        <f>ROUNDUP(IFERROR(VLOOKUP($D39,Base!$B$7:$L$119,10,FALSE),""),0)</f>
        <v>0</v>
      </c>
      <c r="I39" s="236">
        <f t="shared" si="0"/>
        <v>153</v>
      </c>
      <c r="J39" s="191">
        <f>IFERROR(VLOOKUP($D39,Base!$B$7:$L$119,5,FALSE),"")</f>
        <v>1E-4</v>
      </c>
      <c r="K39" s="192">
        <f>VLOOKUP(D39,Mercado!E180:$L$261,7,FALSE)</f>
        <v>56.872199999999999</v>
      </c>
      <c r="M39" s="126"/>
    </row>
    <row r="40" spans="2:13" x14ac:dyDescent="0.2">
      <c r="B40" s="214" t="s">
        <v>421</v>
      </c>
      <c r="C40" s="72">
        <f t="shared" si="1"/>
        <v>33</v>
      </c>
      <c r="D40" s="77" t="str">
        <v>TV Básico Plus Negocio + 250 Megas Negocio</v>
      </c>
      <c r="E40" s="144" t="str">
        <f>IFERROR(VLOOKUP($D40,Base!$B$7:$L$119,2,FALSE),"")</f>
        <v>Negocio</v>
      </c>
      <c r="F40" s="144" t="str">
        <f>IFERROR(VLOOKUP($D40,Base!$B$7:$L$119,3,FALSE),"")</f>
        <v>STAR + Internet fijo</v>
      </c>
      <c r="G40" s="236">
        <f>ROUNDUP(IFERROR(VLOOKUP($D40,Base!$B$7:$L$119,9,FALSE),""),0)</f>
        <v>153</v>
      </c>
      <c r="H40" s="236">
        <f>ROUNDUP(IFERROR(VLOOKUP($D40,Base!$B$7:$L$119,10,FALSE),""),0)</f>
        <v>0</v>
      </c>
      <c r="I40" s="236">
        <f t="shared" si="0"/>
        <v>153</v>
      </c>
      <c r="J40" s="191">
        <f>IFERROR(VLOOKUP($D40,Base!$B$7:$L$119,5,FALSE),"")</f>
        <v>4.0000000000000002E-4</v>
      </c>
      <c r="K40" s="192">
        <f>VLOOKUP(D40,Mercado!E181:$L$261,7,FALSE)</f>
        <v>227.4888</v>
      </c>
      <c r="M40" s="126"/>
    </row>
    <row r="41" spans="2:13" x14ac:dyDescent="0.2">
      <c r="B41" s="214" t="s">
        <v>421</v>
      </c>
      <c r="C41" s="72">
        <f t="shared" si="1"/>
        <v>34</v>
      </c>
      <c r="D41" s="77" t="str">
        <v>TV Básico Plus Negocio + 250 Megas Simetrico Negocio</v>
      </c>
      <c r="E41" s="144" t="str">
        <f>IFERROR(VLOOKUP($D41,Base!$B$7:$L$119,2,FALSE),"")</f>
        <v>Negocio</v>
      </c>
      <c r="F41" s="144" t="str">
        <f>IFERROR(VLOOKUP($D41,Base!$B$7:$L$119,3,FALSE),"")</f>
        <v>STAR + Internet fijo</v>
      </c>
      <c r="G41" s="236">
        <f>ROUNDUP(IFERROR(VLOOKUP($D41,Base!$B$7:$L$119,9,FALSE),""),0)</f>
        <v>153</v>
      </c>
      <c r="H41" s="236">
        <f>ROUNDUP(IFERROR(VLOOKUP($D41,Base!$B$7:$L$119,10,FALSE),""),0)</f>
        <v>0</v>
      </c>
      <c r="I41" s="236">
        <f t="shared" si="0"/>
        <v>153</v>
      </c>
      <c r="J41" s="191">
        <f>IFERROR(VLOOKUP($D41,Base!$B$7:$L$119,5,FALSE),"")</f>
        <v>0</v>
      </c>
      <c r="K41" s="192">
        <f>VLOOKUP(D41,Mercado!E182:$L$261,7,FALSE)</f>
        <v>0</v>
      </c>
      <c r="M41" s="126"/>
    </row>
    <row r="42" spans="2:13" x14ac:dyDescent="0.2">
      <c r="B42" s="214" t="s">
        <v>421</v>
      </c>
      <c r="C42" s="72">
        <f t="shared" si="1"/>
        <v>35</v>
      </c>
      <c r="D42" s="77" t="str">
        <v>TV Básico Plus Negocio + 500 Megas Negocio</v>
      </c>
      <c r="E42" s="144" t="str">
        <f>IFERROR(VLOOKUP($D42,Base!$B$7:$L$119,2,FALSE),"")</f>
        <v>Negocio</v>
      </c>
      <c r="F42" s="144" t="str">
        <f>IFERROR(VLOOKUP($D42,Base!$B$7:$L$119,3,FALSE),"")</f>
        <v>STAR + Internet fijo</v>
      </c>
      <c r="G42" s="236">
        <f>ROUNDUP(IFERROR(VLOOKUP($D42,Base!$B$7:$L$119,9,FALSE),""),0)</f>
        <v>153</v>
      </c>
      <c r="H42" s="236">
        <f>ROUNDUP(IFERROR(VLOOKUP($D42,Base!$B$7:$L$119,10,FALSE),""),0)</f>
        <v>0</v>
      </c>
      <c r="I42" s="236">
        <f t="shared" si="0"/>
        <v>153</v>
      </c>
      <c r="J42" s="191">
        <f>IFERROR(VLOOKUP($D42,Base!$B$7:$L$119,5,FALSE),"")</f>
        <v>1E-4</v>
      </c>
      <c r="K42" s="192">
        <f>VLOOKUP(D42,Mercado!E183:$L$261,7,FALSE)</f>
        <v>56.872199999999999</v>
      </c>
      <c r="M42" s="126"/>
    </row>
    <row r="43" spans="2:13" x14ac:dyDescent="0.2">
      <c r="B43" s="214" t="s">
        <v>421</v>
      </c>
      <c r="C43" s="72">
        <f t="shared" si="1"/>
        <v>36</v>
      </c>
      <c r="D43" s="77" t="str">
        <v>TV Básico Plus Negocio + 500 Megas Simetrico Negocio</v>
      </c>
      <c r="E43" s="144" t="str">
        <f>IFERROR(VLOOKUP($D43,Base!$B$7:$L$119,2,FALSE),"")</f>
        <v>Negocio</v>
      </c>
      <c r="F43" s="144" t="str">
        <f>IFERROR(VLOOKUP($D43,Base!$B$7:$L$119,3,FALSE),"")</f>
        <v>STAR + Internet fijo</v>
      </c>
      <c r="G43" s="236">
        <f>ROUNDUP(IFERROR(VLOOKUP($D43,Base!$B$7:$L$119,9,FALSE),""),0)</f>
        <v>153</v>
      </c>
      <c r="H43" s="236">
        <f>ROUNDUP(IFERROR(VLOOKUP($D43,Base!$B$7:$L$119,10,FALSE),""),0)</f>
        <v>0</v>
      </c>
      <c r="I43" s="236">
        <f t="shared" si="0"/>
        <v>153</v>
      </c>
      <c r="J43" s="191">
        <f>IFERROR(VLOOKUP($D43,Base!$B$7:$L$119,5,FALSE),"")</f>
        <v>0</v>
      </c>
      <c r="K43" s="192">
        <f>VLOOKUP(D43,Mercado!E184:$L$261,7,FALSE)</f>
        <v>0</v>
      </c>
      <c r="M43" s="126"/>
    </row>
    <row r="44" spans="2:13" x14ac:dyDescent="0.2">
      <c r="B44" s="214" t="s">
        <v>421</v>
      </c>
      <c r="C44" s="72">
        <f t="shared" si="1"/>
        <v>37</v>
      </c>
      <c r="D44" s="77" t="str">
        <v>TV Básico Plus Negocio + 60 Megas Negocio</v>
      </c>
      <c r="E44" s="144" t="str">
        <f>IFERROR(VLOOKUP($D44,Base!$B$7:$L$119,2,FALSE),"")</f>
        <v>Negocio</v>
      </c>
      <c r="F44" s="144" t="str">
        <f>IFERROR(VLOOKUP($D44,Base!$B$7:$L$119,3,FALSE),"")</f>
        <v>STAR + Internet fijo</v>
      </c>
      <c r="G44" s="236">
        <f>ROUNDUP(IFERROR(VLOOKUP($D44,Base!$B$7:$L$119,9,FALSE),""),0)</f>
        <v>153</v>
      </c>
      <c r="H44" s="236">
        <f>ROUNDUP(IFERROR(VLOOKUP($D44,Base!$B$7:$L$119,10,FALSE),""),0)</f>
        <v>0</v>
      </c>
      <c r="I44" s="236">
        <f t="shared" si="0"/>
        <v>153</v>
      </c>
      <c r="J44" s="191">
        <f>IFERROR(VLOOKUP($D44,Base!$B$7:$L$119,5,FALSE),"")</f>
        <v>6.9999999999999999E-4</v>
      </c>
      <c r="K44" s="192">
        <f>VLOOKUP(D44,Mercado!E185:$L$261,7,FALSE)</f>
        <v>398.10539999999997</v>
      </c>
      <c r="M44" s="126"/>
    </row>
    <row r="45" spans="2:13" x14ac:dyDescent="0.2">
      <c r="B45" s="214" t="s">
        <v>421</v>
      </c>
      <c r="C45" s="72">
        <f t="shared" si="1"/>
        <v>38</v>
      </c>
      <c r="D45" s="77" t="str">
        <v>TV Básico Plus Negocio + 60 Megas Simetrico Negocio</v>
      </c>
      <c r="E45" s="144" t="str">
        <f>IFERROR(VLOOKUP($D45,Base!$B$7:$L$119,2,FALSE),"")</f>
        <v>Negocio</v>
      </c>
      <c r="F45" s="144" t="str">
        <f>IFERROR(VLOOKUP($D45,Base!$B$7:$L$119,3,FALSE),"")</f>
        <v>STAR + Internet fijo</v>
      </c>
      <c r="G45" s="236">
        <f>ROUNDUP(IFERROR(VLOOKUP($D45,Base!$B$7:$L$119,9,FALSE),""),0)</f>
        <v>153</v>
      </c>
      <c r="H45" s="236">
        <f>ROUNDUP(IFERROR(VLOOKUP($D45,Base!$B$7:$L$119,10,FALSE),""),0)</f>
        <v>0</v>
      </c>
      <c r="I45" s="236">
        <f t="shared" si="0"/>
        <v>153</v>
      </c>
      <c r="J45" s="191">
        <f>IFERROR(VLOOKUP($D45,Base!$B$7:$L$119,5,FALSE),"")</f>
        <v>0</v>
      </c>
      <c r="K45" s="192">
        <f>VLOOKUP(D45,Mercado!E186:$L$261,7,FALSE)</f>
        <v>0</v>
      </c>
      <c r="M45" s="126"/>
    </row>
    <row r="46" spans="2:13" x14ac:dyDescent="0.2">
      <c r="B46" s="214" t="s">
        <v>421</v>
      </c>
      <c r="C46" s="72">
        <f t="shared" si="1"/>
        <v>39</v>
      </c>
      <c r="D46" s="77" t="str">
        <v>TV Básico Plus Xview+ + Telefonía + 100 Megas</v>
      </c>
      <c r="E46" s="144" t="str">
        <f>IFERROR(VLOOKUP($D46,Base!$B$7:$L$119,2,FALSE),"")</f>
        <v>Residencial</v>
      </c>
      <c r="F46" s="144" t="str">
        <f>IFERROR(VLOOKUP($D46,Base!$B$7:$L$119,3,FALSE),"")</f>
        <v>STAR + Internet fijo + Telefonía fija</v>
      </c>
      <c r="G46" s="236">
        <f>ROUNDUP(IFERROR(VLOOKUP($D46,Base!$B$7:$L$119,9,FALSE),""),0)</f>
        <v>122</v>
      </c>
      <c r="H46" s="236">
        <f>ROUNDUP(IFERROR(VLOOKUP($D46,Base!$B$7:$L$119,10,FALSE),""),0)</f>
        <v>97</v>
      </c>
      <c r="I46" s="236">
        <f t="shared" si="0"/>
        <v>219</v>
      </c>
      <c r="J46" s="191">
        <f>IFERROR(VLOOKUP($D46,Base!$B$7:$L$119,5,FALSE),"")</f>
        <v>2.1299999999999999E-2</v>
      </c>
      <c r="K46" s="192">
        <f>VLOOKUP(D46,Mercado!E187:$L$261,7,FALSE)</f>
        <v>12113.7786</v>
      </c>
      <c r="M46" s="126"/>
    </row>
    <row r="47" spans="2:13" x14ac:dyDescent="0.2">
      <c r="B47" s="214" t="s">
        <v>421</v>
      </c>
      <c r="C47" s="72">
        <f t="shared" si="1"/>
        <v>40</v>
      </c>
      <c r="D47" s="77" t="str">
        <v>TV Básico Plus Xview+ + Telefonía + 100 Megas Simetrico</v>
      </c>
      <c r="E47" s="144" t="str">
        <f>IFERROR(VLOOKUP($D47,Base!$B$7:$L$119,2,FALSE),"")</f>
        <v>Residencial</v>
      </c>
      <c r="F47" s="144" t="str">
        <f>IFERROR(VLOOKUP($D47,Base!$B$7:$L$119,3,FALSE),"")</f>
        <v>STAR + Internet fijo + Telefonía fija</v>
      </c>
      <c r="G47" s="236">
        <f>ROUNDUP(IFERROR(VLOOKUP($D47,Base!$B$7:$L$119,9,FALSE),""),0)</f>
        <v>121</v>
      </c>
      <c r="H47" s="236">
        <f>ROUNDUP(IFERROR(VLOOKUP($D47,Base!$B$7:$L$119,10,FALSE),""),0)</f>
        <v>97</v>
      </c>
      <c r="I47" s="236">
        <f t="shared" si="0"/>
        <v>218</v>
      </c>
      <c r="J47" s="191">
        <f>IFERROR(VLOOKUP($D47,Base!$B$7:$L$119,5,FALSE),"")</f>
        <v>1E-4</v>
      </c>
      <c r="K47" s="192">
        <f>VLOOKUP(D47,Mercado!E188:$L$261,7,FALSE)</f>
        <v>56.872199999999999</v>
      </c>
      <c r="M47" s="126"/>
    </row>
    <row r="48" spans="2:13" x14ac:dyDescent="0.2">
      <c r="B48" s="214" t="s">
        <v>421</v>
      </c>
      <c r="C48" s="72">
        <f t="shared" si="1"/>
        <v>41</v>
      </c>
      <c r="D48" s="77" t="str">
        <v>TV Básico Plus Xview+ + Telefonía + 1000 Megas</v>
      </c>
      <c r="E48" s="144" t="str">
        <f>IFERROR(VLOOKUP($D48,Base!$B$7:$L$119,2,FALSE),"")</f>
        <v>Residencial</v>
      </c>
      <c r="F48" s="144" t="str">
        <f>IFERROR(VLOOKUP($D48,Base!$B$7:$L$119,3,FALSE),"")</f>
        <v>STAR + Internet fijo + Telefonía fija</v>
      </c>
      <c r="G48" s="236">
        <f>ROUNDUP(IFERROR(VLOOKUP($D48,Base!$B$7:$L$119,9,FALSE),""),0)</f>
        <v>121</v>
      </c>
      <c r="H48" s="236">
        <f>ROUNDUP(IFERROR(VLOOKUP($D48,Base!$B$7:$L$119,10,FALSE),""),0)</f>
        <v>97</v>
      </c>
      <c r="I48" s="236">
        <f t="shared" si="0"/>
        <v>218</v>
      </c>
      <c r="J48" s="191">
        <f>IFERROR(VLOOKUP($D48,Base!$B$7:$L$119,5,FALSE),"")</f>
        <v>9.9000000000000008E-3</v>
      </c>
      <c r="K48" s="192">
        <f>VLOOKUP(D48,Mercado!E189:$L$261,7,FALSE)</f>
        <v>5630.3478000000005</v>
      </c>
      <c r="M48" s="126"/>
    </row>
    <row r="49" spans="2:13" x14ac:dyDescent="0.2">
      <c r="B49" s="214" t="s">
        <v>421</v>
      </c>
      <c r="C49" s="72">
        <f t="shared" si="1"/>
        <v>42</v>
      </c>
      <c r="D49" s="77" t="str">
        <v>TV Básico Plus Xview+ + Telefonía + 250 Megas</v>
      </c>
      <c r="E49" s="144" t="str">
        <f>IFERROR(VLOOKUP($D49,Base!$B$7:$L$119,2,FALSE),"")</f>
        <v>Residencial</v>
      </c>
      <c r="F49" s="144" t="str">
        <f>IFERROR(VLOOKUP($D49,Base!$B$7:$L$119,3,FALSE),"")</f>
        <v>STAR + Internet fijo + Telefonía fija</v>
      </c>
      <c r="G49" s="236">
        <f>ROUNDUP(IFERROR(VLOOKUP($D49,Base!$B$7:$L$119,9,FALSE),""),0)</f>
        <v>121</v>
      </c>
      <c r="H49" s="236">
        <f>ROUNDUP(IFERROR(VLOOKUP($D49,Base!$B$7:$L$119,10,FALSE),""),0)</f>
        <v>97</v>
      </c>
      <c r="I49" s="236">
        <f t="shared" si="0"/>
        <v>218</v>
      </c>
      <c r="J49" s="191">
        <f>IFERROR(VLOOKUP($D49,Base!$B$7:$L$119,5,FALSE),"")</f>
        <v>5.5599999999999997E-2</v>
      </c>
      <c r="K49" s="192">
        <f>VLOOKUP(D49,Mercado!E190:$L$261,7,FALSE)</f>
        <v>31620.943199999998</v>
      </c>
      <c r="M49" s="126"/>
    </row>
    <row r="50" spans="2:13" x14ac:dyDescent="0.2">
      <c r="B50" s="214" t="s">
        <v>421</v>
      </c>
      <c r="C50" s="72">
        <f t="shared" si="1"/>
        <v>43</v>
      </c>
      <c r="D50" s="77" t="str">
        <v>TV Básico Plus Xview+ + Telefonía + 250 Megas Simetrico</v>
      </c>
      <c r="E50" s="144" t="str">
        <f>IFERROR(VLOOKUP($D50,Base!$B$7:$L$119,2,FALSE),"")</f>
        <v>Residencial</v>
      </c>
      <c r="F50" s="144" t="str">
        <f>IFERROR(VLOOKUP($D50,Base!$B$7:$L$119,3,FALSE),"")</f>
        <v>STAR + Internet fijo + Telefonía fija</v>
      </c>
      <c r="G50" s="236">
        <f>ROUNDUP(IFERROR(VLOOKUP($D50,Base!$B$7:$L$119,9,FALSE),""),0)</f>
        <v>121</v>
      </c>
      <c r="H50" s="236">
        <f>ROUNDUP(IFERROR(VLOOKUP($D50,Base!$B$7:$L$119,10,FALSE),""),0)</f>
        <v>97</v>
      </c>
      <c r="I50" s="236">
        <f t="shared" si="0"/>
        <v>218</v>
      </c>
      <c r="J50" s="191">
        <f>IFERROR(VLOOKUP($D50,Base!$B$7:$L$119,5,FALSE),"")</f>
        <v>1E-4</v>
      </c>
      <c r="K50" s="192">
        <f>VLOOKUP(D50,Mercado!E191:$L$261,7,FALSE)</f>
        <v>56.872199999999999</v>
      </c>
      <c r="M50" s="126"/>
    </row>
    <row r="51" spans="2:13" x14ac:dyDescent="0.2">
      <c r="B51" s="214" t="s">
        <v>421</v>
      </c>
      <c r="C51" s="72">
        <f t="shared" si="1"/>
        <v>44</v>
      </c>
      <c r="D51" s="77" t="str">
        <v>TV Básico Plus Xview+ + Telefonía + 500 Megas</v>
      </c>
      <c r="E51" s="144" t="str">
        <f>IFERROR(VLOOKUP($D51,Base!$B$7:$L$119,2,FALSE),"")</f>
        <v>Residencial</v>
      </c>
      <c r="F51" s="144" t="str">
        <f>IFERROR(VLOOKUP($D51,Base!$B$7:$L$119,3,FALSE),"")</f>
        <v>STAR + Internet fijo + Telefonía fija</v>
      </c>
      <c r="G51" s="236">
        <f>ROUNDUP(IFERROR(VLOOKUP($D51,Base!$B$7:$L$119,9,FALSE),""),0)</f>
        <v>121</v>
      </c>
      <c r="H51" s="236">
        <f>ROUNDUP(IFERROR(VLOOKUP($D51,Base!$B$7:$L$119,10,FALSE),""),0)</f>
        <v>97</v>
      </c>
      <c r="I51" s="236">
        <f t="shared" si="0"/>
        <v>218</v>
      </c>
      <c r="J51" s="191">
        <f>IFERROR(VLOOKUP($D51,Base!$B$7:$L$119,5,FALSE),"")</f>
        <v>1.2200000000000001E-2</v>
      </c>
      <c r="K51" s="192">
        <f>VLOOKUP(D51,Mercado!E192:$L$261,7,FALSE)</f>
        <v>6938.4084000000003</v>
      </c>
      <c r="M51" s="126"/>
    </row>
    <row r="52" spans="2:13" x14ac:dyDescent="0.2">
      <c r="B52" s="214" t="s">
        <v>421</v>
      </c>
      <c r="C52" s="72">
        <f t="shared" si="1"/>
        <v>45</v>
      </c>
      <c r="D52" s="77" t="str">
        <v>TV Básico Plus Xview+ + Telefonía + 500 Megas Simetrico</v>
      </c>
      <c r="E52" s="144" t="str">
        <f>IFERROR(VLOOKUP($D52,Base!$B$7:$L$119,2,FALSE),"")</f>
        <v>Residencial</v>
      </c>
      <c r="F52" s="144" t="str">
        <f>IFERROR(VLOOKUP($D52,Base!$B$7:$L$119,3,FALSE),"")</f>
        <v>STAR + Internet fijo + Telefonía fija</v>
      </c>
      <c r="G52" s="236">
        <f>ROUNDUP(IFERROR(VLOOKUP($D52,Base!$B$7:$L$119,9,FALSE),""),0)</f>
        <v>121</v>
      </c>
      <c r="H52" s="236">
        <f>ROUNDUP(IFERROR(VLOOKUP($D52,Base!$B$7:$L$119,10,FALSE),""),0)</f>
        <v>97</v>
      </c>
      <c r="I52" s="236">
        <f t="shared" si="0"/>
        <v>218</v>
      </c>
      <c r="J52" s="191">
        <f>IFERROR(VLOOKUP($D52,Base!$B$7:$L$119,5,FALSE),"")</f>
        <v>1E-4</v>
      </c>
      <c r="K52" s="192">
        <f>VLOOKUP(D52,Mercado!E193:$L$261,7,FALSE)</f>
        <v>56.872199999999999</v>
      </c>
      <c r="M52" s="126"/>
    </row>
    <row r="53" spans="2:13" x14ac:dyDescent="0.2">
      <c r="B53" s="214" t="s">
        <v>421</v>
      </c>
      <c r="C53" s="72">
        <f t="shared" si="1"/>
        <v>46</v>
      </c>
      <c r="D53" s="77" t="str">
        <v>TV Básico Plus Xview+ + Telefonía + 60 Megas</v>
      </c>
      <c r="E53" s="144" t="str">
        <f>IFERROR(VLOOKUP($D53,Base!$B$7:$L$119,2,FALSE),"")</f>
        <v>Residencial</v>
      </c>
      <c r="F53" s="144" t="str">
        <f>IFERROR(VLOOKUP($D53,Base!$B$7:$L$119,3,FALSE),"")</f>
        <v>STAR + Internet fijo + Telefonía fija</v>
      </c>
      <c r="G53" s="236">
        <f>ROUNDUP(IFERROR(VLOOKUP($D53,Base!$B$7:$L$119,9,FALSE),""),0)</f>
        <v>121</v>
      </c>
      <c r="H53" s="236">
        <f>ROUNDUP(IFERROR(VLOOKUP($D53,Base!$B$7:$L$119,10,FALSE),""),0)</f>
        <v>97</v>
      </c>
      <c r="I53" s="236">
        <f t="shared" si="0"/>
        <v>218</v>
      </c>
      <c r="J53" s="191">
        <f>IFERROR(VLOOKUP($D53,Base!$B$7:$L$119,5,FALSE),"")</f>
        <v>6.3500000000000001E-2</v>
      </c>
      <c r="K53" s="192">
        <f>VLOOKUP(D53,Mercado!E194:$L$261,7,FALSE)</f>
        <v>36113.847000000002</v>
      </c>
      <c r="M53" s="126"/>
    </row>
    <row r="54" spans="2:13" x14ac:dyDescent="0.2">
      <c r="B54" s="214" t="s">
        <v>421</v>
      </c>
      <c r="C54" s="72">
        <f t="shared" si="1"/>
        <v>47</v>
      </c>
      <c r="D54" s="77" t="str">
        <v>TV Básico Plus Xview+ + Telefonía + 60 Megas Simetrico</v>
      </c>
      <c r="E54" s="144" t="str">
        <f>IFERROR(VLOOKUP($D54,Base!$B$7:$L$119,2,FALSE),"")</f>
        <v>Residencial</v>
      </c>
      <c r="F54" s="144" t="str">
        <f>IFERROR(VLOOKUP($D54,Base!$B$7:$L$119,3,FALSE),"")</f>
        <v>STAR + Internet fijo + Telefonía fija</v>
      </c>
      <c r="G54" s="236">
        <f>ROUNDUP(IFERROR(VLOOKUP($D54,Base!$B$7:$L$119,9,FALSE),""),0)</f>
        <v>121</v>
      </c>
      <c r="H54" s="236">
        <f>ROUNDUP(IFERROR(VLOOKUP($D54,Base!$B$7:$L$119,10,FALSE),""),0)</f>
        <v>97</v>
      </c>
      <c r="I54" s="236">
        <f t="shared" si="0"/>
        <v>218</v>
      </c>
      <c r="J54" s="191">
        <f>IFERROR(VLOOKUP($D54,Base!$B$7:$L$119,5,FALSE),"")</f>
        <v>1E-4</v>
      </c>
      <c r="K54" s="192">
        <f>VLOOKUP(D54,Mercado!E195:$L$261,7,FALSE)</f>
        <v>56.872199999999999</v>
      </c>
      <c r="M54" s="126"/>
    </row>
    <row r="55" spans="2:13" x14ac:dyDescent="0.2">
      <c r="B55" s="214" t="s">
        <v>421</v>
      </c>
      <c r="C55" s="72">
        <f t="shared" si="1"/>
        <v>48</v>
      </c>
      <c r="D55" s="77" t="str">
        <v>TV Básico Plus Xview+ Negocio + Telefonía Negocio + 100 Megas Negocio</v>
      </c>
      <c r="E55" s="144" t="str">
        <f>IFERROR(VLOOKUP($D55,Base!$B$7:$L$119,2,FALSE),"")</f>
        <v>Negocio</v>
      </c>
      <c r="F55" s="144" t="str">
        <f>IFERROR(VLOOKUP($D55,Base!$B$7:$L$119,3,FALSE),"")</f>
        <v>STAR + Internet fijo + Telefonía fija</v>
      </c>
      <c r="G55" s="236">
        <f>ROUNDUP(IFERROR(VLOOKUP($D55,Base!$B$7:$L$119,9,FALSE),""),0)</f>
        <v>121</v>
      </c>
      <c r="H55" s="236">
        <f>ROUNDUP(IFERROR(VLOOKUP($D55,Base!$B$7:$L$119,10,FALSE),""),0)</f>
        <v>97</v>
      </c>
      <c r="I55" s="236">
        <f t="shared" si="0"/>
        <v>218</v>
      </c>
      <c r="J55" s="191">
        <f>IFERROR(VLOOKUP($D55,Base!$B$7:$L$119,5,FALSE),"")</f>
        <v>1.9E-3</v>
      </c>
      <c r="K55" s="192">
        <f>VLOOKUP(D55,Mercado!E196:$L$261,7,FALSE)</f>
        <v>1080.5717999999999</v>
      </c>
      <c r="M55" s="126"/>
    </row>
    <row r="56" spans="2:13" x14ac:dyDescent="0.2">
      <c r="B56" s="214" t="s">
        <v>421</v>
      </c>
      <c r="C56" s="72">
        <f t="shared" si="1"/>
        <v>49</v>
      </c>
      <c r="D56" s="77" t="str">
        <v>TV Básico Plus Xview+ Negocio + Telefonía Negocio + 100 Megas Simetrico Negocio</v>
      </c>
      <c r="E56" s="144" t="str">
        <f>IFERROR(VLOOKUP($D56,Base!$B$7:$L$119,2,FALSE),"")</f>
        <v>Negocio</v>
      </c>
      <c r="F56" s="144" t="str">
        <f>IFERROR(VLOOKUP($D56,Base!$B$7:$L$119,3,FALSE),"")</f>
        <v>STAR + Internet fijo + Telefonía fija</v>
      </c>
      <c r="G56" s="236">
        <f>ROUNDUP(IFERROR(VLOOKUP($D56,Base!$B$7:$L$119,9,FALSE),""),0)</f>
        <v>121</v>
      </c>
      <c r="H56" s="236">
        <f>ROUNDUP(IFERROR(VLOOKUP($D56,Base!$B$7:$L$119,10,FALSE),""),0)</f>
        <v>97</v>
      </c>
      <c r="I56" s="236">
        <f t="shared" si="0"/>
        <v>218</v>
      </c>
      <c r="J56" s="191">
        <f>IFERROR(VLOOKUP($D56,Base!$B$7:$L$119,5,FALSE),"")</f>
        <v>1E-4</v>
      </c>
      <c r="K56" s="192">
        <f>VLOOKUP(D56,Mercado!E197:$L$261,7,FALSE)</f>
        <v>56.872199999999999</v>
      </c>
      <c r="M56" s="126"/>
    </row>
    <row r="57" spans="2:13" x14ac:dyDescent="0.2">
      <c r="B57" s="214" t="s">
        <v>421</v>
      </c>
      <c r="C57" s="72">
        <f t="shared" si="1"/>
        <v>50</v>
      </c>
      <c r="D57" s="77" t="str">
        <v>TV Básico Plus Xview+ Negocio + Telefonía Negocio + 1000 Megas Negocio</v>
      </c>
      <c r="E57" s="144" t="str">
        <f>IFERROR(VLOOKUP($D57,Base!$B$7:$L$119,2,FALSE),"")</f>
        <v>Negocio</v>
      </c>
      <c r="F57" s="144" t="str">
        <f>IFERROR(VLOOKUP($D57,Base!$B$7:$L$119,3,FALSE),"")</f>
        <v>STAR + Internet fijo + Telefonía fija</v>
      </c>
      <c r="G57" s="236">
        <f>ROUNDUP(IFERROR(VLOOKUP($D57,Base!$B$7:$L$119,9,FALSE),""),0)</f>
        <v>121</v>
      </c>
      <c r="H57" s="236">
        <f>ROUNDUP(IFERROR(VLOOKUP($D57,Base!$B$7:$L$119,10,FALSE),""),0)</f>
        <v>97</v>
      </c>
      <c r="I57" s="236">
        <f t="shared" si="0"/>
        <v>218</v>
      </c>
      <c r="J57" s="191">
        <f>IFERROR(VLOOKUP($D57,Base!$B$7:$L$119,5,FALSE),"")</f>
        <v>1E-4</v>
      </c>
      <c r="K57" s="192">
        <f>VLOOKUP(D57,Mercado!E198:$L$261,7,FALSE)</f>
        <v>56.872199999999999</v>
      </c>
      <c r="M57" s="126"/>
    </row>
    <row r="58" spans="2:13" x14ac:dyDescent="0.2">
      <c r="B58" s="214" t="s">
        <v>421</v>
      </c>
      <c r="C58" s="72">
        <f t="shared" si="1"/>
        <v>51</v>
      </c>
      <c r="D58" s="77" t="str">
        <v>TV Básico Plus Xview+ Negocio + Telefonía Negocio + 250 Megas Negocio</v>
      </c>
      <c r="E58" s="144" t="str">
        <f>IFERROR(VLOOKUP($D58,Base!$B$7:$L$119,2,FALSE),"")</f>
        <v>Negocio</v>
      </c>
      <c r="F58" s="144" t="str">
        <f>IFERROR(VLOOKUP($D58,Base!$B$7:$L$119,3,FALSE),"")</f>
        <v>STAR + Internet fijo + Telefonía fija</v>
      </c>
      <c r="G58" s="236">
        <f>ROUNDUP(IFERROR(VLOOKUP($D58,Base!$B$7:$L$119,9,FALSE),""),0)</f>
        <v>121</v>
      </c>
      <c r="H58" s="236">
        <f>ROUNDUP(IFERROR(VLOOKUP($D58,Base!$B$7:$L$119,10,FALSE),""),0)</f>
        <v>97</v>
      </c>
      <c r="I58" s="236">
        <f t="shared" si="0"/>
        <v>218</v>
      </c>
      <c r="J58" s="191">
        <f>IFERROR(VLOOKUP($D58,Base!$B$7:$L$119,5,FALSE),"")</f>
        <v>2E-3</v>
      </c>
      <c r="K58" s="192">
        <f>VLOOKUP(D58,Mercado!E199:$L$261,7,FALSE)</f>
        <v>1137.444</v>
      </c>
      <c r="M58" s="126"/>
    </row>
    <row r="59" spans="2:13" x14ac:dyDescent="0.2">
      <c r="B59" s="214" t="s">
        <v>421</v>
      </c>
      <c r="C59" s="72">
        <f t="shared" si="1"/>
        <v>52</v>
      </c>
      <c r="D59" s="77" t="str">
        <v>TV Básico Plus Xview+ Negocio + Telefonía Negocio + 250 Megas Simetrico Negocio</v>
      </c>
      <c r="E59" s="144" t="str">
        <f>IFERROR(VLOOKUP($D59,Base!$B$7:$L$119,2,FALSE),"")</f>
        <v>Negocio</v>
      </c>
      <c r="F59" s="144" t="str">
        <f>IFERROR(VLOOKUP($D59,Base!$B$7:$L$119,3,FALSE),"")</f>
        <v>STAR + Internet fijo + Telefonía fija</v>
      </c>
      <c r="G59" s="236">
        <f>ROUNDUP(IFERROR(VLOOKUP($D59,Base!$B$7:$L$119,9,FALSE),""),0)</f>
        <v>121</v>
      </c>
      <c r="H59" s="236">
        <f>ROUNDUP(IFERROR(VLOOKUP($D59,Base!$B$7:$L$119,10,FALSE),""),0)</f>
        <v>97</v>
      </c>
      <c r="I59" s="236">
        <f t="shared" si="0"/>
        <v>218</v>
      </c>
      <c r="J59" s="191">
        <f>IFERROR(VLOOKUP($D59,Base!$B$7:$L$119,5,FALSE),"")</f>
        <v>1E-4</v>
      </c>
      <c r="K59" s="192">
        <f>VLOOKUP(D59,Mercado!E200:$L$261,7,FALSE)</f>
        <v>56.872199999999999</v>
      </c>
      <c r="M59" s="126"/>
    </row>
    <row r="60" spans="2:13" x14ac:dyDescent="0.2">
      <c r="B60" s="214" t="s">
        <v>421</v>
      </c>
      <c r="C60" s="72">
        <f t="shared" si="1"/>
        <v>53</v>
      </c>
      <c r="D60" s="77" t="str">
        <v>TV Básico Plus Xview+ Negocio + Telefonía Negocio + 500 Megas Negocio</v>
      </c>
      <c r="E60" s="144" t="str">
        <f>IFERROR(VLOOKUP($D60,Base!$B$7:$L$119,2,FALSE),"")</f>
        <v>Negocio</v>
      </c>
      <c r="F60" s="144" t="str">
        <f>IFERROR(VLOOKUP($D60,Base!$B$7:$L$119,3,FALSE),"")</f>
        <v>STAR + Internet fijo + Telefonía fija</v>
      </c>
      <c r="G60" s="236">
        <f>ROUNDUP(IFERROR(VLOOKUP($D60,Base!$B$7:$L$119,9,FALSE),""),0)</f>
        <v>121</v>
      </c>
      <c r="H60" s="236">
        <f>ROUNDUP(IFERROR(VLOOKUP($D60,Base!$B$7:$L$119,10,FALSE),""),0)</f>
        <v>97</v>
      </c>
      <c r="I60" s="236">
        <f t="shared" si="0"/>
        <v>218</v>
      </c>
      <c r="J60" s="191">
        <f>IFERROR(VLOOKUP($D60,Base!$B$7:$L$119,5,FALSE),"")</f>
        <v>1E-3</v>
      </c>
      <c r="K60" s="192">
        <f>VLOOKUP(D60,Mercado!E201:$L$261,7,FALSE)</f>
        <v>568.72199999999998</v>
      </c>
      <c r="M60" s="126"/>
    </row>
    <row r="61" spans="2:13" x14ac:dyDescent="0.2">
      <c r="B61" s="214" t="s">
        <v>421</v>
      </c>
      <c r="C61" s="72">
        <f t="shared" si="1"/>
        <v>54</v>
      </c>
      <c r="D61" s="77" t="str">
        <v>TV Básico Plus Xview+ Negocio + Telefonía Negocio + 500 Megas Simetrico Negocio</v>
      </c>
      <c r="E61" s="144" t="str">
        <f>IFERROR(VLOOKUP($D61,Base!$B$7:$L$119,2,FALSE),"")</f>
        <v>Negocio</v>
      </c>
      <c r="F61" s="144" t="str">
        <f>IFERROR(VLOOKUP($D61,Base!$B$7:$L$119,3,FALSE),"")</f>
        <v>STAR + Internet fijo + Telefonía fija</v>
      </c>
      <c r="G61" s="236">
        <f>ROUNDUP(IFERROR(VLOOKUP($D61,Base!$B$7:$L$119,9,FALSE),""),0)</f>
        <v>121</v>
      </c>
      <c r="H61" s="236">
        <f>ROUNDUP(IFERROR(VLOOKUP($D61,Base!$B$7:$L$119,10,FALSE),""),0)</f>
        <v>97</v>
      </c>
      <c r="I61" s="236">
        <f t="shared" si="0"/>
        <v>218</v>
      </c>
      <c r="J61" s="191">
        <f>IFERROR(VLOOKUP($D61,Base!$B$7:$L$119,5,FALSE),"")</f>
        <v>1E-4</v>
      </c>
      <c r="K61" s="192">
        <f>VLOOKUP(D61,Mercado!E202:$L$261,7,FALSE)</f>
        <v>56.872199999999999</v>
      </c>
      <c r="M61" s="126"/>
    </row>
    <row r="62" spans="2:13" x14ac:dyDescent="0.2">
      <c r="B62" s="214" t="s">
        <v>421</v>
      </c>
      <c r="C62" s="72">
        <f t="shared" si="1"/>
        <v>55</v>
      </c>
      <c r="D62" s="77" t="str">
        <v>TV Básico Plus Xview+ Negocio + Telefonía Negocio + 60 Megas Negocio</v>
      </c>
      <c r="E62" s="144" t="str">
        <f>IFERROR(VLOOKUP($D62,Base!$B$7:$L$119,2,FALSE),"")</f>
        <v>Negocio</v>
      </c>
      <c r="F62" s="144" t="str">
        <f>IFERROR(VLOOKUP($D62,Base!$B$7:$L$119,3,FALSE),"")</f>
        <v>STAR + Internet fijo + Telefonía fija</v>
      </c>
      <c r="G62" s="236">
        <f>ROUNDUP(IFERROR(VLOOKUP($D62,Base!$B$7:$L$119,9,FALSE),""),0)</f>
        <v>121</v>
      </c>
      <c r="H62" s="236">
        <f>ROUNDUP(IFERROR(VLOOKUP($D62,Base!$B$7:$L$119,10,FALSE),""),0)</f>
        <v>97</v>
      </c>
      <c r="I62" s="236">
        <f t="shared" si="0"/>
        <v>218</v>
      </c>
      <c r="J62" s="191">
        <f>IFERROR(VLOOKUP($D62,Base!$B$7:$L$119,5,FALSE),"")</f>
        <v>1.8E-3</v>
      </c>
      <c r="K62" s="192">
        <f>VLOOKUP(D62,Mercado!E203:$L$261,7,FALSE)</f>
        <v>1023.6995999999999</v>
      </c>
      <c r="M62" s="126"/>
    </row>
    <row r="63" spans="2:13" x14ac:dyDescent="0.2">
      <c r="B63" s="214" t="s">
        <v>421</v>
      </c>
      <c r="C63" s="72">
        <f>1+C62</f>
        <v>56</v>
      </c>
      <c r="D63" s="77" t="str">
        <v>TV Básico Plus Xview+ Negocio + Telefonía Negocio + 60 Megas Simetrico Negocio</v>
      </c>
      <c r="E63" s="144" t="str">
        <f>IFERROR(VLOOKUP($D63,Base!$B$7:$L$119,2,FALSE),"")</f>
        <v>Negocio</v>
      </c>
      <c r="F63" s="144" t="str">
        <f>IFERROR(VLOOKUP($D63,Base!$B$7:$L$119,3,FALSE),"")</f>
        <v>STAR + Internet fijo + Telefonía fija</v>
      </c>
      <c r="G63" s="236">
        <f>ROUNDUP(IFERROR(VLOOKUP($D63,Base!$B$7:$L$119,9,FALSE),""),0)</f>
        <v>121</v>
      </c>
      <c r="H63" s="236">
        <f>ROUNDUP(IFERROR(VLOOKUP($D63,Base!$B$7:$L$119,10,FALSE),""),0)</f>
        <v>97</v>
      </c>
      <c r="I63" s="236">
        <f t="shared" si="0"/>
        <v>218</v>
      </c>
      <c r="J63" s="191">
        <f>IFERROR(VLOOKUP($D63,Base!$B$7:$L$119,5,FALSE),"")</f>
        <v>1E-4</v>
      </c>
      <c r="K63" s="192">
        <f>VLOOKUP(D63,Mercado!E204:$L$261,7,FALSE)</f>
        <v>56.872199999999999</v>
      </c>
      <c r="M63" s="126"/>
    </row>
    <row r="64" spans="2:13" x14ac:dyDescent="0.2">
      <c r="B64" s="214" t="s">
        <v>322</v>
      </c>
      <c r="C64" s="72">
        <f t="shared" si="1"/>
        <v>57</v>
      </c>
      <c r="D64" s="77" t="str">
        <v>TV Conecta</v>
      </c>
      <c r="E64" s="144" t="str">
        <f>IFERROR(VLOOKUP($D64,Base!$B$7:$L$119,2,FALSE),"")</f>
        <v>Residencial</v>
      </c>
      <c r="F64" s="144" t="str">
        <f>IFERROR(VLOOKUP($D64,Base!$B$7:$L$119,3,FALSE),"")</f>
        <v>Solo STAR</v>
      </c>
      <c r="G64" s="236">
        <f>ROUNDUP(IFERROR(VLOOKUP($D64,Base!$B$7:$L$119,9,FALSE),""),0)</f>
        <v>94</v>
      </c>
      <c r="H64" s="236">
        <f>ROUNDUP(IFERROR(VLOOKUP($D64,Base!$B$7:$L$119,10,FALSE),""),0)</f>
        <v>0</v>
      </c>
      <c r="I64" s="236">
        <f t="shared" si="0"/>
        <v>94</v>
      </c>
      <c r="J64" s="191">
        <f>IFERROR(VLOOKUP($D64,Base!$B$7:$L$119,5,FALSE),"")</f>
        <v>1.1999999999999999E-3</v>
      </c>
      <c r="K64" s="192">
        <f>VLOOKUP(D64,Mercado!E205:$L$261,7,FALSE)</f>
        <v>682.46639999999991</v>
      </c>
      <c r="M64" s="126"/>
    </row>
    <row r="65" spans="2:13" x14ac:dyDescent="0.2">
      <c r="B65" s="214" t="s">
        <v>322</v>
      </c>
      <c r="C65" s="72">
        <f t="shared" si="1"/>
        <v>58</v>
      </c>
      <c r="D65" s="77" t="str">
        <v>TV Conecta Negocio</v>
      </c>
      <c r="E65" s="144" t="str">
        <f>IFERROR(VLOOKUP($D65,Base!$B$7:$L$119,2,FALSE),"")</f>
        <v>Negocio</v>
      </c>
      <c r="F65" s="144" t="str">
        <f>IFERROR(VLOOKUP($D65,Base!$B$7:$L$119,3,FALSE),"")</f>
        <v>Solo STAR</v>
      </c>
      <c r="G65" s="236">
        <f>ROUNDUP(IFERROR(VLOOKUP($D65,Base!$B$7:$L$119,9,FALSE),""),0)</f>
        <v>94</v>
      </c>
      <c r="H65" s="236">
        <f>ROUNDUP(IFERROR(VLOOKUP($D65,Base!$B$7:$L$119,10,FALSE),""),0)</f>
        <v>0</v>
      </c>
      <c r="I65" s="236">
        <f t="shared" si="0"/>
        <v>94</v>
      </c>
      <c r="J65" s="191">
        <f>IFERROR(VLOOKUP($D65,Base!$B$7:$L$119,5,FALSE),"")</f>
        <v>1E-4</v>
      </c>
      <c r="K65" s="192">
        <f>VLOOKUP(D65,Mercado!E206:$L$261,7,FALSE)</f>
        <v>56.872199999999999</v>
      </c>
      <c r="M65" s="126"/>
    </row>
    <row r="66" spans="2:13" x14ac:dyDescent="0.2">
      <c r="B66" s="214" t="s">
        <v>322</v>
      </c>
      <c r="C66" s="72">
        <f t="shared" si="1"/>
        <v>59</v>
      </c>
      <c r="D66" s="77" t="str">
        <v>TV Conecta + 100 Megas</v>
      </c>
      <c r="E66" s="144" t="str">
        <f>IFERROR(VLOOKUP($D66,Base!$B$7:$L$119,2,FALSE),"")</f>
        <v>Residencial</v>
      </c>
      <c r="F66" s="144" t="str">
        <f>IFERROR(VLOOKUP($D66,Base!$B$7:$L$119,3,FALSE),"")</f>
        <v>STAR + Internet fijo</v>
      </c>
      <c r="G66" s="236">
        <f>ROUNDUP(IFERROR(VLOOKUP($D66,Base!$B$7:$L$119,9,FALSE),""),0)</f>
        <v>94</v>
      </c>
      <c r="H66" s="236">
        <f>ROUNDUP(IFERROR(VLOOKUP($D66,Base!$B$7:$L$119,10,FALSE),""),0)</f>
        <v>0</v>
      </c>
      <c r="I66" s="236">
        <f t="shared" si="0"/>
        <v>94</v>
      </c>
      <c r="J66" s="191">
        <f>IFERROR(VLOOKUP($D66,Base!$B$7:$L$119,5,FALSE),"")</f>
        <v>5.0000000000000001E-4</v>
      </c>
      <c r="K66" s="192">
        <f>VLOOKUP(D66,Mercado!E207:$L$261,7,FALSE)</f>
        <v>284.36099999999999</v>
      </c>
      <c r="M66" s="126"/>
    </row>
    <row r="67" spans="2:13" x14ac:dyDescent="0.2">
      <c r="B67" s="214" t="s">
        <v>322</v>
      </c>
      <c r="C67" s="72">
        <f t="shared" si="1"/>
        <v>60</v>
      </c>
      <c r="D67" s="77" t="str">
        <v>TV Conecta + 100 Megas Simetrico</v>
      </c>
      <c r="E67" s="144" t="str">
        <f>IFERROR(VLOOKUP($D67,Base!$B$7:$L$119,2,FALSE),"")</f>
        <v>Residencial</v>
      </c>
      <c r="F67" s="144" t="str">
        <f>IFERROR(VLOOKUP($D67,Base!$B$7:$L$119,3,FALSE),"")</f>
        <v>STAR + Internet fijo</v>
      </c>
      <c r="G67" s="236">
        <f>ROUNDUP(IFERROR(VLOOKUP($D67,Base!$B$7:$L$119,9,FALSE),""),0)</f>
        <v>94</v>
      </c>
      <c r="H67" s="236">
        <f>ROUNDUP(IFERROR(VLOOKUP($D67,Base!$B$7:$L$119,10,FALSE),""),0)</f>
        <v>0</v>
      </c>
      <c r="I67" s="236">
        <f t="shared" si="0"/>
        <v>94</v>
      </c>
      <c r="J67" s="191">
        <f>IFERROR(VLOOKUP($D67,Base!$B$7:$L$119,5,FALSE),"")</f>
        <v>0</v>
      </c>
      <c r="K67" s="192">
        <f>VLOOKUP(D67,Mercado!E208:$L$261,7,FALSE)</f>
        <v>0</v>
      </c>
      <c r="M67" s="126"/>
    </row>
    <row r="68" spans="2:13" x14ac:dyDescent="0.2">
      <c r="B68" s="214" t="s">
        <v>322</v>
      </c>
      <c r="C68" s="72">
        <f t="shared" si="1"/>
        <v>61</v>
      </c>
      <c r="D68" s="77" t="str">
        <v>TV Conecta + 1000 Megas</v>
      </c>
      <c r="E68" s="144" t="str">
        <f>IFERROR(VLOOKUP($D68,Base!$B$7:$L$119,2,FALSE),"")</f>
        <v>Residencial</v>
      </c>
      <c r="F68" s="144" t="str">
        <f>IFERROR(VLOOKUP($D68,Base!$B$7:$L$119,3,FALSE),"")</f>
        <v>STAR + Internet fijo</v>
      </c>
      <c r="G68" s="236">
        <f>ROUNDUP(IFERROR(VLOOKUP($D68,Base!$B$7:$L$119,9,FALSE),""),0)</f>
        <v>94</v>
      </c>
      <c r="H68" s="236">
        <f>ROUNDUP(IFERROR(VLOOKUP($D68,Base!$B$7:$L$119,10,FALSE),""),0)</f>
        <v>0</v>
      </c>
      <c r="I68" s="236">
        <f t="shared" si="0"/>
        <v>94</v>
      </c>
      <c r="J68" s="191">
        <f>IFERROR(VLOOKUP($D68,Base!$B$7:$L$119,5,FALSE),"")</f>
        <v>0</v>
      </c>
      <c r="K68" s="192">
        <f>VLOOKUP(D68,Mercado!E209:$L$261,7,FALSE)</f>
        <v>0</v>
      </c>
      <c r="M68" s="126"/>
    </row>
    <row r="69" spans="2:13" x14ac:dyDescent="0.2">
      <c r="B69" s="214" t="s">
        <v>322</v>
      </c>
      <c r="C69" s="72">
        <f t="shared" si="1"/>
        <v>62</v>
      </c>
      <c r="D69" s="77" t="str">
        <v>TV Conecta + 250 Megas</v>
      </c>
      <c r="E69" s="144" t="str">
        <f>IFERROR(VLOOKUP($D69,Base!$B$7:$L$119,2,FALSE),"")</f>
        <v>Residencial</v>
      </c>
      <c r="F69" s="144" t="str">
        <f>IFERROR(VLOOKUP($D69,Base!$B$7:$L$119,3,FALSE),"")</f>
        <v>STAR + Internet fijo</v>
      </c>
      <c r="G69" s="236">
        <f>ROUNDUP(IFERROR(VLOOKUP($D69,Base!$B$7:$L$119,9,FALSE),""),0)</f>
        <v>94</v>
      </c>
      <c r="H69" s="236">
        <f>ROUNDUP(IFERROR(VLOOKUP($D69,Base!$B$7:$L$119,10,FALSE),""),0)</f>
        <v>0</v>
      </c>
      <c r="I69" s="236">
        <f t="shared" si="0"/>
        <v>94</v>
      </c>
      <c r="J69" s="191">
        <f>IFERROR(VLOOKUP($D69,Base!$B$7:$L$119,5,FALSE),"")</f>
        <v>1.35E-2</v>
      </c>
      <c r="K69" s="192">
        <f>VLOOKUP(D69,Mercado!E210:$L$261,7,FALSE)</f>
        <v>7677.7470000000003</v>
      </c>
      <c r="M69" s="126"/>
    </row>
    <row r="70" spans="2:13" x14ac:dyDescent="0.2">
      <c r="B70" s="214" t="s">
        <v>322</v>
      </c>
      <c r="C70" s="72">
        <f t="shared" si="1"/>
        <v>63</v>
      </c>
      <c r="D70" s="77" t="str">
        <v>TV Conecta + 250 Megas Simetrico</v>
      </c>
      <c r="E70" s="144" t="str">
        <f>IFERROR(VLOOKUP($D70,Base!$B$7:$L$119,2,FALSE),"")</f>
        <v>Residencial</v>
      </c>
      <c r="F70" s="144" t="str">
        <f>IFERROR(VLOOKUP($D70,Base!$B$7:$L$119,3,FALSE),"")</f>
        <v>STAR + Internet fijo</v>
      </c>
      <c r="G70" s="236">
        <f>ROUNDUP(IFERROR(VLOOKUP($D70,Base!$B$7:$L$119,9,FALSE),""),0)</f>
        <v>94</v>
      </c>
      <c r="H70" s="236">
        <f>ROUNDUP(IFERROR(VLOOKUP($D70,Base!$B$7:$L$119,10,FALSE),""),0)</f>
        <v>0</v>
      </c>
      <c r="I70" s="236">
        <f t="shared" si="0"/>
        <v>94</v>
      </c>
      <c r="J70" s="191">
        <f>IFERROR(VLOOKUP($D70,Base!$B$7:$L$119,5,FALSE),"")</f>
        <v>0</v>
      </c>
      <c r="K70" s="192">
        <f>VLOOKUP(D70,Mercado!E211:$L$261,7,FALSE)</f>
        <v>0</v>
      </c>
      <c r="M70" s="126"/>
    </row>
    <row r="71" spans="2:13" x14ac:dyDescent="0.2">
      <c r="B71" s="214" t="s">
        <v>322</v>
      </c>
      <c r="C71" s="72">
        <f t="shared" si="1"/>
        <v>64</v>
      </c>
      <c r="D71" s="77" t="str">
        <v>TV Conecta + 500 Megas</v>
      </c>
      <c r="E71" s="144" t="str">
        <f>IFERROR(VLOOKUP($D71,Base!$B$7:$L$119,2,FALSE),"")</f>
        <v>Residencial</v>
      </c>
      <c r="F71" s="144" t="str">
        <f>IFERROR(VLOOKUP($D71,Base!$B$7:$L$119,3,FALSE),"")</f>
        <v>STAR + Internet fijo</v>
      </c>
      <c r="G71" s="236">
        <f>ROUNDUP(IFERROR(VLOOKUP($D71,Base!$B$7:$L$119,9,FALSE),""),0)</f>
        <v>94</v>
      </c>
      <c r="H71" s="236">
        <f>ROUNDUP(IFERROR(VLOOKUP($D71,Base!$B$7:$L$119,10,FALSE),""),0)</f>
        <v>0</v>
      </c>
      <c r="I71" s="236">
        <f t="shared" si="0"/>
        <v>94</v>
      </c>
      <c r="J71" s="191">
        <f>IFERROR(VLOOKUP($D71,Base!$B$7:$L$119,5,FALSE),"")</f>
        <v>2.0000000000000001E-4</v>
      </c>
      <c r="K71" s="192">
        <f>VLOOKUP(D71,Mercado!E212:$L$261,7,FALSE)</f>
        <v>113.7444</v>
      </c>
      <c r="M71" s="126"/>
    </row>
    <row r="72" spans="2:13" x14ac:dyDescent="0.2">
      <c r="B72" s="214" t="s">
        <v>322</v>
      </c>
      <c r="C72" s="72">
        <f t="shared" si="1"/>
        <v>65</v>
      </c>
      <c r="D72" s="77" t="str">
        <v>TV Conecta + 500 Megas Simetrico</v>
      </c>
      <c r="E72" s="144" t="str">
        <f>IFERROR(VLOOKUP($D72,Base!$B$7:$L$119,2,FALSE),"")</f>
        <v>Residencial</v>
      </c>
      <c r="F72" s="144" t="str">
        <f>IFERROR(VLOOKUP($D72,Base!$B$7:$L$119,3,FALSE),"")</f>
        <v>STAR + Internet fijo</v>
      </c>
      <c r="G72" s="236">
        <f>ROUNDUP(IFERROR(VLOOKUP($D72,Base!$B$7:$L$119,9,FALSE),""),0)</f>
        <v>94</v>
      </c>
      <c r="H72" s="236">
        <f>ROUNDUP(IFERROR(VLOOKUP($D72,Base!$B$7:$L$119,10,FALSE),""),0)</f>
        <v>0</v>
      </c>
      <c r="I72" s="236">
        <f t="shared" si="0"/>
        <v>94</v>
      </c>
      <c r="J72" s="191">
        <f>IFERROR(VLOOKUP($D72,Base!$B$7:$L$119,5,FALSE),"")</f>
        <v>0</v>
      </c>
      <c r="K72" s="192">
        <f>VLOOKUP(D72,Mercado!E213:$L$261,7,FALSE)</f>
        <v>0</v>
      </c>
      <c r="M72" s="126"/>
    </row>
    <row r="73" spans="2:13" x14ac:dyDescent="0.2">
      <c r="B73" s="214" t="s">
        <v>322</v>
      </c>
      <c r="C73" s="72">
        <f t="shared" si="1"/>
        <v>66</v>
      </c>
      <c r="D73" s="77" t="str">
        <v>TV Conecta + 60 Megas</v>
      </c>
      <c r="E73" s="144" t="str">
        <f>IFERROR(VLOOKUP($D73,Base!$B$7:$L$119,2,FALSE),"")</f>
        <v>Residencial</v>
      </c>
      <c r="F73" s="144" t="str">
        <f>IFERROR(VLOOKUP($D73,Base!$B$7:$L$119,3,FALSE),"")</f>
        <v>STAR + Internet fijo</v>
      </c>
      <c r="G73" s="236">
        <f>ROUNDUP(IFERROR(VLOOKUP($D73,Base!$B$7:$L$119,9,FALSE),""),0)</f>
        <v>104</v>
      </c>
      <c r="H73" s="236">
        <f>ROUNDUP(IFERROR(VLOOKUP($D73,Base!$B$7:$L$119,10,FALSE),""),0)</f>
        <v>0</v>
      </c>
      <c r="I73" s="236">
        <f t="shared" ref="I73:I120" si="2">G73+H73</f>
        <v>104</v>
      </c>
      <c r="J73" s="191">
        <f>IFERROR(VLOOKUP($D73,Base!$B$7:$L$119,5,FALSE),"")</f>
        <v>1.5100000000000001E-2</v>
      </c>
      <c r="K73" s="192">
        <f>VLOOKUP(D73,Mercado!E214:$L$261,7,FALSE)</f>
        <v>8587.7021999999997</v>
      </c>
      <c r="M73" s="126"/>
    </row>
    <row r="74" spans="2:13" x14ac:dyDescent="0.2">
      <c r="B74" s="214" t="s">
        <v>322</v>
      </c>
      <c r="C74" s="72">
        <f t="shared" ref="C74:C121" si="3">1+C73</f>
        <v>67</v>
      </c>
      <c r="D74" s="77" t="str">
        <v>TV Conecta + 60 Megas Simetrico</v>
      </c>
      <c r="E74" s="144" t="str">
        <f>IFERROR(VLOOKUP($D74,Base!$B$7:$L$119,2,FALSE),"")</f>
        <v>Residencial</v>
      </c>
      <c r="F74" s="144" t="str">
        <f>IFERROR(VLOOKUP($D74,Base!$B$7:$L$119,3,FALSE),"")</f>
        <v>STAR + Internet fijo</v>
      </c>
      <c r="G74" s="236">
        <f>ROUNDUP(IFERROR(VLOOKUP($D74,Base!$B$7:$L$119,9,FALSE),""),0)</f>
        <v>104</v>
      </c>
      <c r="H74" s="236">
        <f>ROUNDUP(IFERROR(VLOOKUP($D74,Base!$B$7:$L$119,10,FALSE),""),0)</f>
        <v>0</v>
      </c>
      <c r="I74" s="236">
        <f t="shared" si="2"/>
        <v>104</v>
      </c>
      <c r="J74" s="191">
        <f>IFERROR(VLOOKUP($D74,Base!$B$7:$L$119,5,FALSE),"")</f>
        <v>1E-4</v>
      </c>
      <c r="K74" s="192">
        <f>VLOOKUP(D74,Mercado!E215:$L$261,7,FALSE)</f>
        <v>56.872199999999999</v>
      </c>
      <c r="M74" s="126"/>
    </row>
    <row r="75" spans="2:13" x14ac:dyDescent="0.2">
      <c r="B75" s="214" t="s">
        <v>322</v>
      </c>
      <c r="C75" s="72">
        <f t="shared" si="3"/>
        <v>68</v>
      </c>
      <c r="D75" s="77" t="str">
        <v>TV Conecta + HD + Telefonía + 100 Megas</v>
      </c>
      <c r="E75" s="144" t="str">
        <f>IFERROR(VLOOKUP($D75,Base!$B$7:$L$119,2,FALSE),"")</f>
        <v>Residencial</v>
      </c>
      <c r="F75" s="144" t="str">
        <f>IFERROR(VLOOKUP($D75,Base!$B$7:$L$119,3,FALSE),"")</f>
        <v>STAR + Internet fijo + Telefonía fija</v>
      </c>
      <c r="G75" s="236">
        <f>ROUNDUP(IFERROR(VLOOKUP($D75,Base!$B$7:$L$119,9,FALSE),""),0)</f>
        <v>77</v>
      </c>
      <c r="H75" s="236">
        <f>ROUNDUP(IFERROR(VLOOKUP($D75,Base!$B$7:$L$119,10,FALSE),""),0)</f>
        <v>61</v>
      </c>
      <c r="I75" s="236">
        <f t="shared" si="2"/>
        <v>138</v>
      </c>
      <c r="J75" s="191">
        <f>IFERROR(VLOOKUP($D75,Base!$B$7:$L$119,5,FALSE),"")</f>
        <v>0</v>
      </c>
      <c r="K75" s="192">
        <f>VLOOKUP(D75,Mercado!E216:$L$261,7,FALSE)</f>
        <v>0</v>
      </c>
      <c r="M75" s="126"/>
    </row>
    <row r="76" spans="2:13" x14ac:dyDescent="0.2">
      <c r="B76" s="214" t="s">
        <v>322</v>
      </c>
      <c r="C76" s="72">
        <f t="shared" si="3"/>
        <v>69</v>
      </c>
      <c r="D76" s="77" t="str">
        <v>TV Conecta + HD + Telefonía + 100 Megas Simetrico</v>
      </c>
      <c r="E76" s="144" t="str">
        <f>IFERROR(VLOOKUP($D76,Base!$B$7:$L$119,2,FALSE),"")</f>
        <v>Residencial</v>
      </c>
      <c r="F76" s="144" t="str">
        <f>IFERROR(VLOOKUP($D76,Base!$B$7:$L$119,3,FALSE),"")</f>
        <v>STAR + Internet fijo + Telefonía fija</v>
      </c>
      <c r="G76" s="236">
        <f>ROUNDUP(IFERROR(VLOOKUP($D76,Base!$B$7:$L$119,9,FALSE),""),0)</f>
        <v>77</v>
      </c>
      <c r="H76" s="236">
        <f>ROUNDUP(IFERROR(VLOOKUP($D76,Base!$B$7:$L$119,10,FALSE),""),0)</f>
        <v>61</v>
      </c>
      <c r="I76" s="236">
        <f t="shared" si="2"/>
        <v>138</v>
      </c>
      <c r="J76" s="191">
        <f>IFERROR(VLOOKUP($D76,Base!$B$7:$L$119,5,FALSE),"")</f>
        <v>0</v>
      </c>
      <c r="K76" s="192">
        <f>VLOOKUP(D76,Mercado!E217:$L$261,7,FALSE)</f>
        <v>0</v>
      </c>
      <c r="M76" s="126"/>
    </row>
    <row r="77" spans="2:13" x14ac:dyDescent="0.2">
      <c r="B77" s="214" t="s">
        <v>322</v>
      </c>
      <c r="C77" s="72">
        <f t="shared" si="3"/>
        <v>70</v>
      </c>
      <c r="D77" s="77" t="str">
        <v>TV Conecta + HD + Telefonía + 1000 Megas</v>
      </c>
      <c r="E77" s="144" t="str">
        <f>IFERROR(VLOOKUP($D77,Base!$B$7:$L$119,2,FALSE),"")</f>
        <v>Residencial</v>
      </c>
      <c r="F77" s="144" t="str">
        <f>IFERROR(VLOOKUP($D77,Base!$B$7:$L$119,3,FALSE),"")</f>
        <v>STAR + Internet fijo + Telefonía fija</v>
      </c>
      <c r="G77" s="236">
        <f>ROUNDUP(IFERROR(VLOOKUP($D77,Base!$B$7:$L$119,9,FALSE),""),0)</f>
        <v>77</v>
      </c>
      <c r="H77" s="236">
        <f>ROUNDUP(IFERROR(VLOOKUP($D77,Base!$B$7:$L$119,10,FALSE),""),0)</f>
        <v>61</v>
      </c>
      <c r="I77" s="236">
        <f t="shared" si="2"/>
        <v>138</v>
      </c>
      <c r="J77" s="191">
        <f>IFERROR(VLOOKUP($D77,Base!$B$7:$L$119,5,FALSE),"")</f>
        <v>0</v>
      </c>
      <c r="K77" s="192">
        <f>VLOOKUP(D77,Mercado!E218:$L$261,7,FALSE)</f>
        <v>0</v>
      </c>
      <c r="M77" s="126"/>
    </row>
    <row r="78" spans="2:13" x14ac:dyDescent="0.2">
      <c r="B78" s="214" t="s">
        <v>322</v>
      </c>
      <c r="C78" s="72">
        <f t="shared" si="3"/>
        <v>71</v>
      </c>
      <c r="D78" s="77" t="str">
        <v>TV Conecta + HD + Telefonía + 250 Megas</v>
      </c>
      <c r="E78" s="144" t="str">
        <f>IFERROR(VLOOKUP($D78,Base!$B$7:$L$119,2,FALSE),"")</f>
        <v>Residencial</v>
      </c>
      <c r="F78" s="144" t="str">
        <f>IFERROR(VLOOKUP($D78,Base!$B$7:$L$119,3,FALSE),"")</f>
        <v>STAR + Internet fijo + Telefonía fija</v>
      </c>
      <c r="G78" s="236">
        <f>ROUNDUP(IFERROR(VLOOKUP($D78,Base!$B$7:$L$119,9,FALSE),""),0)</f>
        <v>77</v>
      </c>
      <c r="H78" s="236">
        <f>ROUNDUP(IFERROR(VLOOKUP($D78,Base!$B$7:$L$119,10,FALSE),""),0)</f>
        <v>61</v>
      </c>
      <c r="I78" s="236">
        <f t="shared" si="2"/>
        <v>138</v>
      </c>
      <c r="J78" s="191">
        <f>IFERROR(VLOOKUP($D78,Base!$B$7:$L$119,5,FALSE),"")</f>
        <v>0</v>
      </c>
      <c r="K78" s="192">
        <f>VLOOKUP(D78,Mercado!E219:$L$261,7,FALSE)</f>
        <v>0</v>
      </c>
      <c r="M78" s="126"/>
    </row>
    <row r="79" spans="2:13" x14ac:dyDescent="0.2">
      <c r="B79" s="214" t="s">
        <v>322</v>
      </c>
      <c r="C79" s="72">
        <f t="shared" si="3"/>
        <v>72</v>
      </c>
      <c r="D79" s="77" t="str">
        <v>TV Conecta + HD + Telefonía + 250 Megas Simetrico</v>
      </c>
      <c r="E79" s="144" t="str">
        <f>IFERROR(VLOOKUP($D79,Base!$B$7:$L$119,2,FALSE),"")</f>
        <v>Residencial</v>
      </c>
      <c r="F79" s="144" t="str">
        <f>IFERROR(VLOOKUP($D79,Base!$B$7:$L$119,3,FALSE),"")</f>
        <v>STAR + Internet fijo + Telefonía fija</v>
      </c>
      <c r="G79" s="236">
        <f>ROUNDUP(IFERROR(VLOOKUP($D79,Base!$B$7:$L$119,9,FALSE),""),0)</f>
        <v>77</v>
      </c>
      <c r="H79" s="236">
        <f>ROUNDUP(IFERROR(VLOOKUP($D79,Base!$B$7:$L$119,10,FALSE),""),0)</f>
        <v>61</v>
      </c>
      <c r="I79" s="236">
        <f t="shared" si="2"/>
        <v>138</v>
      </c>
      <c r="J79" s="191">
        <f>IFERROR(VLOOKUP($D79,Base!$B$7:$L$119,5,FALSE),"")</f>
        <v>0</v>
      </c>
      <c r="K79" s="192">
        <f>VLOOKUP(D79,Mercado!E220:$L$261,7,FALSE)</f>
        <v>0</v>
      </c>
      <c r="M79" s="126"/>
    </row>
    <row r="80" spans="2:13" x14ac:dyDescent="0.2">
      <c r="B80" s="214" t="s">
        <v>322</v>
      </c>
      <c r="C80" s="72">
        <f t="shared" si="3"/>
        <v>73</v>
      </c>
      <c r="D80" s="77" t="str">
        <v>TV Conecta + HD + Telefonía + 500 Megas</v>
      </c>
      <c r="E80" s="144" t="str">
        <f>IFERROR(VLOOKUP($D80,Base!$B$7:$L$119,2,FALSE),"")</f>
        <v>Residencial</v>
      </c>
      <c r="F80" s="144" t="str">
        <f>IFERROR(VLOOKUP($D80,Base!$B$7:$L$119,3,FALSE),"")</f>
        <v>STAR + Internet fijo + Telefonía fija</v>
      </c>
      <c r="G80" s="236">
        <f>ROUNDUP(IFERROR(VLOOKUP($D80,Base!$B$7:$L$119,9,FALSE),""),0)</f>
        <v>77</v>
      </c>
      <c r="H80" s="236">
        <f>ROUNDUP(IFERROR(VLOOKUP($D80,Base!$B$7:$L$119,10,FALSE),""),0)</f>
        <v>61</v>
      </c>
      <c r="I80" s="236">
        <f t="shared" si="2"/>
        <v>138</v>
      </c>
      <c r="J80" s="191">
        <f>IFERROR(VLOOKUP($D80,Base!$B$7:$L$119,5,FALSE),"")</f>
        <v>0</v>
      </c>
      <c r="K80" s="192">
        <f>VLOOKUP(D80,Mercado!E221:$L$261,7,FALSE)</f>
        <v>0</v>
      </c>
      <c r="M80" s="126"/>
    </row>
    <row r="81" spans="2:13" x14ac:dyDescent="0.2">
      <c r="B81" s="214" t="s">
        <v>322</v>
      </c>
      <c r="C81" s="72">
        <f t="shared" si="3"/>
        <v>74</v>
      </c>
      <c r="D81" s="77" t="str">
        <v>TV Conecta + HD + Telefonía + 500 Megas Simetrico</v>
      </c>
      <c r="E81" s="144" t="str">
        <f>IFERROR(VLOOKUP($D81,Base!$B$7:$L$119,2,FALSE),"")</f>
        <v>Residencial</v>
      </c>
      <c r="F81" s="144" t="str">
        <f>IFERROR(VLOOKUP($D81,Base!$B$7:$L$119,3,FALSE),"")</f>
        <v>STAR + Internet fijo + Telefonía fija</v>
      </c>
      <c r="G81" s="236">
        <f>ROUNDUP(IFERROR(VLOOKUP($D81,Base!$B$7:$L$119,9,FALSE),""),0)</f>
        <v>77</v>
      </c>
      <c r="H81" s="236">
        <f>ROUNDUP(IFERROR(VLOOKUP($D81,Base!$B$7:$L$119,10,FALSE),""),0)</f>
        <v>61</v>
      </c>
      <c r="I81" s="236">
        <f t="shared" si="2"/>
        <v>138</v>
      </c>
      <c r="J81" s="191">
        <f>IFERROR(VLOOKUP($D81,Base!$B$7:$L$119,5,FALSE),"")</f>
        <v>0</v>
      </c>
      <c r="K81" s="192">
        <f>VLOOKUP(D81,Mercado!E222:$L$261,7,FALSE)</f>
        <v>0</v>
      </c>
      <c r="M81" s="126"/>
    </row>
    <row r="82" spans="2:13" x14ac:dyDescent="0.2">
      <c r="B82" s="214" t="s">
        <v>322</v>
      </c>
      <c r="C82" s="72">
        <f t="shared" si="3"/>
        <v>75</v>
      </c>
      <c r="D82" s="77" t="str">
        <v>TV Conecta + HD + Telefonía + 60 Megas</v>
      </c>
      <c r="E82" s="144" t="str">
        <f>IFERROR(VLOOKUP($D82,Base!$B$7:$L$119,2,FALSE),"")</f>
        <v>Residencial</v>
      </c>
      <c r="F82" s="144" t="str">
        <f>IFERROR(VLOOKUP($D82,Base!$B$7:$L$119,3,FALSE),"")</f>
        <v>STAR + Internet fijo + Telefonía fija</v>
      </c>
      <c r="G82" s="236">
        <f>ROUNDUP(IFERROR(VLOOKUP($D82,Base!$B$7:$L$119,9,FALSE),""),0)</f>
        <v>81</v>
      </c>
      <c r="H82" s="236">
        <f>ROUNDUP(IFERROR(VLOOKUP($D82,Base!$B$7:$L$119,10,FALSE),""),0)</f>
        <v>63</v>
      </c>
      <c r="I82" s="236">
        <f t="shared" si="2"/>
        <v>144</v>
      </c>
      <c r="J82" s="191">
        <f>IFERROR(VLOOKUP($D82,Base!$B$7:$L$119,5,FALSE),"")</f>
        <v>0</v>
      </c>
      <c r="K82" s="192">
        <f>VLOOKUP(D82,Mercado!E223:$L$261,7,FALSE)</f>
        <v>0</v>
      </c>
      <c r="M82" s="126"/>
    </row>
    <row r="83" spans="2:13" x14ac:dyDescent="0.2">
      <c r="B83" s="214" t="s">
        <v>322</v>
      </c>
      <c r="C83" s="72">
        <f t="shared" si="3"/>
        <v>76</v>
      </c>
      <c r="D83" s="77" t="str">
        <v>TV Conecta + HD + Telefonía + 60 Megas Simetrico</v>
      </c>
      <c r="E83" s="144" t="str">
        <f>IFERROR(VLOOKUP($D83,Base!$B$7:$L$119,2,FALSE),"")</f>
        <v>Residencial</v>
      </c>
      <c r="F83" s="144" t="str">
        <f>IFERROR(VLOOKUP($D83,Base!$B$7:$L$119,3,FALSE),"")</f>
        <v>STAR + Internet fijo + Telefonía fija</v>
      </c>
      <c r="G83" s="236">
        <f>ROUNDUP(IFERROR(VLOOKUP($D83,Base!$B$7:$L$119,9,FALSE),""),0)</f>
        <v>81</v>
      </c>
      <c r="H83" s="236">
        <f>ROUNDUP(IFERROR(VLOOKUP($D83,Base!$B$7:$L$119,10,FALSE),""),0)</f>
        <v>63</v>
      </c>
      <c r="I83" s="236">
        <f t="shared" si="2"/>
        <v>144</v>
      </c>
      <c r="J83" s="191">
        <f>IFERROR(VLOOKUP($D83,Base!$B$7:$L$119,5,FALSE),"")</f>
        <v>0</v>
      </c>
      <c r="K83" s="192">
        <f>VLOOKUP(D83,Mercado!E224:$L$261,7,FALSE)</f>
        <v>0</v>
      </c>
      <c r="M83" s="126"/>
    </row>
    <row r="84" spans="2:13" x14ac:dyDescent="0.2">
      <c r="B84" s="214" t="s">
        <v>322</v>
      </c>
      <c r="C84" s="72">
        <f t="shared" si="3"/>
        <v>77</v>
      </c>
      <c r="D84" s="77" t="str">
        <v>TV Conecta + HD Negocio + Telefonía Negocio + 100 Megas Negocio</v>
      </c>
      <c r="E84" s="144" t="str">
        <f>IFERROR(VLOOKUP($D84,Base!$B$7:$L$119,2,FALSE),"")</f>
        <v>Negocio</v>
      </c>
      <c r="F84" s="144" t="str">
        <f>IFERROR(VLOOKUP($D84,Base!$B$7:$L$119,3,FALSE),"")</f>
        <v>STAR + Internet fijo + Telefonía fija</v>
      </c>
      <c r="G84" s="236">
        <f>ROUNDUP(IFERROR(VLOOKUP($D84,Base!$B$7:$L$119,9,FALSE),""),0)</f>
        <v>77</v>
      </c>
      <c r="H84" s="236">
        <f>ROUNDUP(IFERROR(VLOOKUP($D84,Base!$B$7:$L$119,10,FALSE),""),0)</f>
        <v>61</v>
      </c>
      <c r="I84" s="236">
        <f t="shared" si="2"/>
        <v>138</v>
      </c>
      <c r="J84" s="191">
        <f>IFERROR(VLOOKUP($D84,Base!$B$7:$L$119,5,FALSE),"")</f>
        <v>0</v>
      </c>
      <c r="K84" s="192">
        <f>VLOOKUP(D84,Mercado!E225:$L$261,7,FALSE)</f>
        <v>0</v>
      </c>
      <c r="M84" s="126"/>
    </row>
    <row r="85" spans="2:13" x14ac:dyDescent="0.2">
      <c r="B85" s="214" t="s">
        <v>322</v>
      </c>
      <c r="C85" s="72">
        <f t="shared" si="3"/>
        <v>78</v>
      </c>
      <c r="D85" s="77" t="str">
        <v>TV Conecta + HD Negocio + Telefonía Negocio + 100 Megas Simetrico Negocio</v>
      </c>
      <c r="E85" s="144" t="str">
        <f>IFERROR(VLOOKUP($D85,Base!$B$7:$L$119,2,FALSE),"")</f>
        <v>Negocio</v>
      </c>
      <c r="F85" s="144" t="str">
        <f>IFERROR(VLOOKUP($D85,Base!$B$7:$L$119,3,FALSE),"")</f>
        <v>STAR + Internet fijo + Telefonía fija</v>
      </c>
      <c r="G85" s="236">
        <f>ROUNDUP(IFERROR(VLOOKUP($D85,Base!$B$7:$L$119,9,FALSE),""),0)</f>
        <v>77</v>
      </c>
      <c r="H85" s="236">
        <f>ROUNDUP(IFERROR(VLOOKUP($D85,Base!$B$7:$L$119,10,FALSE),""),0)</f>
        <v>61</v>
      </c>
      <c r="I85" s="236">
        <f t="shared" si="2"/>
        <v>138</v>
      </c>
      <c r="J85" s="191">
        <f>IFERROR(VLOOKUP($D85,Base!$B$7:$L$119,5,FALSE),"")</f>
        <v>0</v>
      </c>
      <c r="K85" s="192">
        <f>VLOOKUP(D85,Mercado!E226:$L$261,7,FALSE)</f>
        <v>0</v>
      </c>
      <c r="M85" s="126"/>
    </row>
    <row r="86" spans="2:13" x14ac:dyDescent="0.2">
      <c r="B86" s="214" t="s">
        <v>322</v>
      </c>
      <c r="C86" s="72">
        <f t="shared" si="3"/>
        <v>79</v>
      </c>
      <c r="D86" s="77" t="str">
        <v>TV Conecta + HD Negocio + Telefonía Negocio + 1000 Megas Negocio</v>
      </c>
      <c r="E86" s="144" t="str">
        <f>IFERROR(VLOOKUP($D86,Base!$B$7:$L$119,2,FALSE),"")</f>
        <v>Negocio</v>
      </c>
      <c r="F86" s="144" t="str">
        <f>IFERROR(VLOOKUP($D86,Base!$B$7:$L$119,3,FALSE),"")</f>
        <v>STAR + Internet fijo + Telefonía fija</v>
      </c>
      <c r="G86" s="236">
        <f>ROUNDUP(IFERROR(VLOOKUP($D86,Base!$B$7:$L$119,9,FALSE),""),0)</f>
        <v>77</v>
      </c>
      <c r="H86" s="236">
        <f>ROUNDUP(IFERROR(VLOOKUP($D86,Base!$B$7:$L$119,10,FALSE),""),0)</f>
        <v>61</v>
      </c>
      <c r="I86" s="236">
        <f t="shared" si="2"/>
        <v>138</v>
      </c>
      <c r="J86" s="191">
        <f>IFERROR(VLOOKUP($D86,Base!$B$7:$L$119,5,FALSE),"")</f>
        <v>0</v>
      </c>
      <c r="K86" s="192">
        <f>VLOOKUP(D86,Mercado!E227:$L$261,7,FALSE)</f>
        <v>0</v>
      </c>
      <c r="M86" s="126"/>
    </row>
    <row r="87" spans="2:13" x14ac:dyDescent="0.2">
      <c r="B87" s="214" t="s">
        <v>322</v>
      </c>
      <c r="C87" s="72">
        <f t="shared" si="3"/>
        <v>80</v>
      </c>
      <c r="D87" s="77" t="str">
        <v>TV Conecta + HD Negocio + Telefonía Negocio + 250 Megas Negocio</v>
      </c>
      <c r="E87" s="144" t="str">
        <f>IFERROR(VLOOKUP($D87,Base!$B$7:$L$119,2,FALSE),"")</f>
        <v>Negocio</v>
      </c>
      <c r="F87" s="144" t="str">
        <f>IFERROR(VLOOKUP($D87,Base!$B$7:$L$119,3,FALSE),"")</f>
        <v>STAR + Internet fijo + Telefonía fija</v>
      </c>
      <c r="G87" s="236">
        <f>ROUNDUP(IFERROR(VLOOKUP($D87,Base!$B$7:$L$119,9,FALSE),""),0)</f>
        <v>77</v>
      </c>
      <c r="H87" s="236">
        <f>ROUNDUP(IFERROR(VLOOKUP($D87,Base!$B$7:$L$119,10,FALSE),""),0)</f>
        <v>61</v>
      </c>
      <c r="I87" s="236">
        <f t="shared" si="2"/>
        <v>138</v>
      </c>
      <c r="J87" s="191">
        <f>IFERROR(VLOOKUP($D87,Base!$B$7:$L$119,5,FALSE),"")</f>
        <v>0</v>
      </c>
      <c r="K87" s="192">
        <f>VLOOKUP(D87,Mercado!E228:$L$261,7,FALSE)</f>
        <v>0</v>
      </c>
      <c r="M87" s="126"/>
    </row>
    <row r="88" spans="2:13" x14ac:dyDescent="0.2">
      <c r="B88" s="214" t="s">
        <v>322</v>
      </c>
      <c r="C88" s="72">
        <f t="shared" si="3"/>
        <v>81</v>
      </c>
      <c r="D88" s="77" t="str">
        <v>TV Conecta + HD Negocio + Telefonía Negocio + 250 Megas Simetrico Negocio</v>
      </c>
      <c r="E88" s="144" t="str">
        <f>IFERROR(VLOOKUP($D88,Base!$B$7:$L$119,2,FALSE),"")</f>
        <v>Negocio</v>
      </c>
      <c r="F88" s="144" t="str">
        <f>IFERROR(VLOOKUP($D88,Base!$B$7:$L$119,3,FALSE),"")</f>
        <v>STAR + Internet fijo + Telefonía fija</v>
      </c>
      <c r="G88" s="236">
        <f>ROUNDUP(IFERROR(VLOOKUP($D88,Base!$B$7:$L$119,9,FALSE),""),0)</f>
        <v>77</v>
      </c>
      <c r="H88" s="236">
        <f>ROUNDUP(IFERROR(VLOOKUP($D88,Base!$B$7:$L$119,10,FALSE),""),0)</f>
        <v>61</v>
      </c>
      <c r="I88" s="236">
        <f t="shared" si="2"/>
        <v>138</v>
      </c>
      <c r="J88" s="191">
        <f>IFERROR(VLOOKUP($D88,Base!$B$7:$L$119,5,FALSE),"")</f>
        <v>0</v>
      </c>
      <c r="K88" s="192">
        <f>VLOOKUP(D88,Mercado!E229:$L$261,7,FALSE)</f>
        <v>0</v>
      </c>
      <c r="M88" s="126"/>
    </row>
    <row r="89" spans="2:13" x14ac:dyDescent="0.2">
      <c r="B89" s="214" t="s">
        <v>322</v>
      </c>
      <c r="C89" s="72">
        <f t="shared" si="3"/>
        <v>82</v>
      </c>
      <c r="D89" s="77" t="str">
        <v>TV Conecta + HD Negocio + Telefonía Negocio + 500 Megas Negocio</v>
      </c>
      <c r="E89" s="144" t="str">
        <f>IFERROR(VLOOKUP($D89,Base!$B$7:$L$119,2,FALSE),"")</f>
        <v>Negocio</v>
      </c>
      <c r="F89" s="144" t="str">
        <f>IFERROR(VLOOKUP($D89,Base!$B$7:$L$119,3,FALSE),"")</f>
        <v>STAR + Internet fijo + Telefonía fija</v>
      </c>
      <c r="G89" s="236">
        <f>ROUNDUP(IFERROR(VLOOKUP($D89,Base!$B$7:$L$119,9,FALSE),""),0)</f>
        <v>77</v>
      </c>
      <c r="H89" s="236">
        <f>ROUNDUP(IFERROR(VLOOKUP($D89,Base!$B$7:$L$119,10,FALSE),""),0)</f>
        <v>61</v>
      </c>
      <c r="I89" s="236">
        <f t="shared" si="2"/>
        <v>138</v>
      </c>
      <c r="J89" s="191">
        <f>IFERROR(VLOOKUP($D89,Base!$B$7:$L$119,5,FALSE),"")</f>
        <v>0</v>
      </c>
      <c r="K89" s="192">
        <f>VLOOKUP(D89,Mercado!E230:$L$261,7,FALSE)</f>
        <v>0</v>
      </c>
      <c r="M89" s="126"/>
    </row>
    <row r="90" spans="2:13" x14ac:dyDescent="0.2">
      <c r="B90" s="214" t="s">
        <v>322</v>
      </c>
      <c r="C90" s="72">
        <f t="shared" si="3"/>
        <v>83</v>
      </c>
      <c r="D90" s="77" t="str">
        <v>TV Conecta + HD Negocio + Telefonía Negocio + 500 Megas Simetrico Negocio</v>
      </c>
      <c r="E90" s="144" t="str">
        <f>IFERROR(VLOOKUP($D90,Base!$B$7:$L$119,2,FALSE),"")</f>
        <v>Negocio</v>
      </c>
      <c r="F90" s="144" t="str">
        <f>IFERROR(VLOOKUP($D90,Base!$B$7:$L$119,3,FALSE),"")</f>
        <v>STAR + Internet fijo + Telefonía fija</v>
      </c>
      <c r="G90" s="236">
        <f>ROUNDUP(IFERROR(VLOOKUP($D90,Base!$B$7:$L$119,9,FALSE),""),0)</f>
        <v>77</v>
      </c>
      <c r="H90" s="236">
        <f>ROUNDUP(IFERROR(VLOOKUP($D90,Base!$B$7:$L$119,10,FALSE),""),0)</f>
        <v>61</v>
      </c>
      <c r="I90" s="236">
        <f t="shared" si="2"/>
        <v>138</v>
      </c>
      <c r="J90" s="191">
        <f>IFERROR(VLOOKUP($D90,Base!$B$7:$L$119,5,FALSE),"")</f>
        <v>0</v>
      </c>
      <c r="K90" s="192">
        <f>VLOOKUP(D90,Mercado!E231:$L$261,7,FALSE)</f>
        <v>0</v>
      </c>
      <c r="M90" s="126"/>
    </row>
    <row r="91" spans="2:13" x14ac:dyDescent="0.2">
      <c r="B91" s="214" t="s">
        <v>322</v>
      </c>
      <c r="C91" s="72">
        <f t="shared" si="3"/>
        <v>84</v>
      </c>
      <c r="D91" s="77" t="str">
        <v>TV Conecta + HD Negocio + Telefonía Negocio + 60 Megas Negocio</v>
      </c>
      <c r="E91" s="144" t="str">
        <f>IFERROR(VLOOKUP($D91,Base!$B$7:$L$119,2,FALSE),"")</f>
        <v>Negocio</v>
      </c>
      <c r="F91" s="144" t="str">
        <f>IFERROR(VLOOKUP($D91,Base!$B$7:$L$119,3,FALSE),"")</f>
        <v>STAR + Internet fijo + Telefonía fija</v>
      </c>
      <c r="G91" s="236">
        <f>ROUNDUP(IFERROR(VLOOKUP($D91,Base!$B$7:$L$119,9,FALSE),""),0)</f>
        <v>81</v>
      </c>
      <c r="H91" s="236">
        <f>ROUNDUP(IFERROR(VLOOKUP($D91,Base!$B$7:$L$119,10,FALSE),""),0)</f>
        <v>63</v>
      </c>
      <c r="I91" s="236">
        <f t="shared" si="2"/>
        <v>144</v>
      </c>
      <c r="J91" s="191">
        <f>IFERROR(VLOOKUP($D91,Base!$B$7:$L$119,5,FALSE),"")</f>
        <v>0</v>
      </c>
      <c r="K91" s="192">
        <f>VLOOKUP(D91,Mercado!E232:$L$261,7,FALSE)</f>
        <v>0</v>
      </c>
      <c r="M91" s="126"/>
    </row>
    <row r="92" spans="2:13" x14ac:dyDescent="0.2">
      <c r="B92" s="214" t="s">
        <v>322</v>
      </c>
      <c r="C92" s="72">
        <f t="shared" si="3"/>
        <v>85</v>
      </c>
      <c r="D92" s="77" t="str">
        <v>TV Conecta + HD Negocio + Telefonía Negocio + 60 Megas Simetrico Negocio</v>
      </c>
      <c r="E92" s="144" t="str">
        <f>IFERROR(VLOOKUP($D92,Base!$B$7:$L$119,2,FALSE),"")</f>
        <v>Negocio</v>
      </c>
      <c r="F92" s="144" t="str">
        <f>IFERROR(VLOOKUP($D92,Base!$B$7:$L$119,3,FALSE),"")</f>
        <v>STAR + Internet fijo + Telefonía fija</v>
      </c>
      <c r="G92" s="236">
        <f>ROUNDUP(IFERROR(VLOOKUP($D92,Base!$B$7:$L$119,9,FALSE),""),0)</f>
        <v>81</v>
      </c>
      <c r="H92" s="236">
        <f>ROUNDUP(IFERROR(VLOOKUP($D92,Base!$B$7:$L$119,10,FALSE),""),0)</f>
        <v>63</v>
      </c>
      <c r="I92" s="236">
        <f t="shared" si="2"/>
        <v>144</v>
      </c>
      <c r="J92" s="191">
        <f>IFERROR(VLOOKUP($D92,Base!$B$7:$L$119,5,FALSE),"")</f>
        <v>0</v>
      </c>
      <c r="K92" s="192">
        <f>VLOOKUP(D92,Mercado!E233:$L$261,7,FALSE)</f>
        <v>0</v>
      </c>
      <c r="M92" s="126"/>
    </row>
    <row r="93" spans="2:13" x14ac:dyDescent="0.2">
      <c r="B93" s="214" t="s">
        <v>322</v>
      </c>
      <c r="C93" s="72">
        <f t="shared" si="3"/>
        <v>86</v>
      </c>
      <c r="D93" s="77" t="str">
        <v>TV Conecta Negocio + 100 Megas Negocio</v>
      </c>
      <c r="E93" s="144" t="str">
        <f>IFERROR(VLOOKUP($D93,Base!$B$7:$L$119,2,FALSE),"")</f>
        <v>Negocio</v>
      </c>
      <c r="F93" s="144" t="str">
        <f>IFERROR(VLOOKUP($D93,Base!$B$7:$L$119,3,FALSE),"")</f>
        <v>STAR + Internet fijo</v>
      </c>
      <c r="G93" s="236">
        <f>ROUNDUP(IFERROR(VLOOKUP($D93,Base!$B$7:$L$119,9,FALSE),""),0)</f>
        <v>94</v>
      </c>
      <c r="H93" s="236">
        <f>ROUNDUP(IFERROR(VLOOKUP($D93,Base!$B$7:$L$119,10,FALSE),""),0)</f>
        <v>0</v>
      </c>
      <c r="I93" s="236">
        <f t="shared" si="2"/>
        <v>94</v>
      </c>
      <c r="J93" s="191">
        <f>IFERROR(VLOOKUP($D93,Base!$B$7:$L$119,5,FALSE),"")</f>
        <v>2.0000000000000001E-4</v>
      </c>
      <c r="K93" s="192">
        <f>VLOOKUP(D93,Mercado!E234:$L$261,7,FALSE)</f>
        <v>113.7444</v>
      </c>
      <c r="M93" s="126"/>
    </row>
    <row r="94" spans="2:13" x14ac:dyDescent="0.2">
      <c r="B94" s="214" t="s">
        <v>322</v>
      </c>
      <c r="C94" s="72">
        <f t="shared" si="3"/>
        <v>87</v>
      </c>
      <c r="D94" s="77" t="str">
        <v>TV Conecta Negocio + 100 Megas Simetrico Negocio</v>
      </c>
      <c r="E94" s="144" t="str">
        <f>IFERROR(VLOOKUP($D94,Base!$B$7:$L$119,2,FALSE),"")</f>
        <v>Negocio</v>
      </c>
      <c r="F94" s="144" t="str">
        <f>IFERROR(VLOOKUP($D94,Base!$B$7:$L$119,3,FALSE),"")</f>
        <v>STAR + Internet fijo</v>
      </c>
      <c r="G94" s="236">
        <f>ROUNDUP(IFERROR(VLOOKUP($D94,Base!$B$7:$L$119,9,FALSE),""),0)</f>
        <v>94</v>
      </c>
      <c r="H94" s="236">
        <f>ROUNDUP(IFERROR(VLOOKUP($D94,Base!$B$7:$L$119,10,FALSE),""),0)</f>
        <v>0</v>
      </c>
      <c r="I94" s="236">
        <f t="shared" si="2"/>
        <v>94</v>
      </c>
      <c r="J94" s="191">
        <f>IFERROR(VLOOKUP($D94,Base!$B$7:$L$119,5,FALSE),"")</f>
        <v>0</v>
      </c>
      <c r="K94" s="192">
        <f>VLOOKUP(D94,Mercado!E235:$L$261,7,FALSE)</f>
        <v>0</v>
      </c>
      <c r="M94" s="126"/>
    </row>
    <row r="95" spans="2:13" x14ac:dyDescent="0.2">
      <c r="B95" s="214" t="s">
        <v>322</v>
      </c>
      <c r="C95" s="72">
        <f t="shared" si="3"/>
        <v>88</v>
      </c>
      <c r="D95" s="77" t="str">
        <v>TV Conecta Negocio + 1000 Megas Negocio</v>
      </c>
      <c r="E95" s="144" t="str">
        <f>IFERROR(VLOOKUP($D95,Base!$B$7:$L$119,2,FALSE),"")</f>
        <v>Negocio</v>
      </c>
      <c r="F95" s="144" t="str">
        <f>IFERROR(VLOOKUP($D95,Base!$B$7:$L$119,3,FALSE),"")</f>
        <v>STAR + Internet fijo</v>
      </c>
      <c r="G95" s="236">
        <f>ROUNDUP(IFERROR(VLOOKUP($D95,Base!$B$7:$L$119,9,FALSE),""),0)</f>
        <v>94</v>
      </c>
      <c r="H95" s="236">
        <f>ROUNDUP(IFERROR(VLOOKUP($D95,Base!$B$7:$L$119,10,FALSE),""),0)</f>
        <v>0</v>
      </c>
      <c r="I95" s="236">
        <f t="shared" si="2"/>
        <v>94</v>
      </c>
      <c r="J95" s="191">
        <f>IFERROR(VLOOKUP($D95,Base!$B$7:$L$119,5,FALSE),"")</f>
        <v>1E-4</v>
      </c>
      <c r="K95" s="192">
        <f>VLOOKUP(D95,Mercado!E236:$L$261,7,FALSE)</f>
        <v>56.872199999999999</v>
      </c>
      <c r="M95" s="126"/>
    </row>
    <row r="96" spans="2:13" x14ac:dyDescent="0.2">
      <c r="B96" s="214" t="s">
        <v>322</v>
      </c>
      <c r="C96" s="72">
        <f t="shared" si="3"/>
        <v>89</v>
      </c>
      <c r="D96" s="77" t="str">
        <v>TV Conecta Negocio + 250 Megas Negocio</v>
      </c>
      <c r="E96" s="144" t="str">
        <f>IFERROR(VLOOKUP($D96,Base!$B$7:$L$119,2,FALSE),"")</f>
        <v>Negocio</v>
      </c>
      <c r="F96" s="144" t="str">
        <f>IFERROR(VLOOKUP($D96,Base!$B$7:$L$119,3,FALSE),"")</f>
        <v>STAR + Internet fijo</v>
      </c>
      <c r="G96" s="236">
        <f>ROUNDUP(IFERROR(VLOOKUP($D96,Base!$B$7:$L$119,9,FALSE),""),0)</f>
        <v>94</v>
      </c>
      <c r="H96" s="236">
        <f>ROUNDUP(IFERROR(VLOOKUP($D96,Base!$B$7:$L$119,10,FALSE),""),0)</f>
        <v>0</v>
      </c>
      <c r="I96" s="236">
        <f t="shared" si="2"/>
        <v>94</v>
      </c>
      <c r="J96" s="191">
        <f>IFERROR(VLOOKUP($D96,Base!$B$7:$L$119,5,FALSE),"")</f>
        <v>1.9E-3</v>
      </c>
      <c r="K96" s="192">
        <f>VLOOKUP(D96,Mercado!E237:$L$261,7,FALSE)</f>
        <v>1080.5717999999999</v>
      </c>
      <c r="M96" s="126"/>
    </row>
    <row r="97" spans="2:13" x14ac:dyDescent="0.2">
      <c r="B97" s="214" t="s">
        <v>322</v>
      </c>
      <c r="C97" s="72">
        <f t="shared" si="3"/>
        <v>90</v>
      </c>
      <c r="D97" s="77" t="str">
        <v>TV Conecta Negocio + 250 Megas Simetrico Negocio</v>
      </c>
      <c r="E97" s="144" t="str">
        <f>IFERROR(VLOOKUP($D97,Base!$B$7:$L$119,2,FALSE),"")</f>
        <v>Negocio</v>
      </c>
      <c r="F97" s="144" t="str">
        <f>IFERROR(VLOOKUP($D97,Base!$B$7:$L$119,3,FALSE),"")</f>
        <v>STAR + Internet fijo</v>
      </c>
      <c r="G97" s="236">
        <f>ROUNDUP(IFERROR(VLOOKUP($D97,Base!$B$7:$L$119,9,FALSE),""),0)</f>
        <v>94</v>
      </c>
      <c r="H97" s="236">
        <f>ROUNDUP(IFERROR(VLOOKUP($D97,Base!$B$7:$L$119,10,FALSE),""),0)</f>
        <v>0</v>
      </c>
      <c r="I97" s="236">
        <f t="shared" si="2"/>
        <v>94</v>
      </c>
      <c r="J97" s="191">
        <f>IFERROR(VLOOKUP($D97,Base!$B$7:$L$119,5,FALSE),"")</f>
        <v>0</v>
      </c>
      <c r="K97" s="192">
        <f>VLOOKUP(D97,Mercado!E238:$L$261,7,FALSE)</f>
        <v>0</v>
      </c>
      <c r="M97" s="126"/>
    </row>
    <row r="98" spans="2:13" x14ac:dyDescent="0.2">
      <c r="B98" s="214" t="s">
        <v>322</v>
      </c>
      <c r="C98" s="72">
        <f t="shared" si="3"/>
        <v>91</v>
      </c>
      <c r="D98" s="77" t="str">
        <v>TV Conecta Negocio + 500 Megas Negocio</v>
      </c>
      <c r="E98" s="144" t="str">
        <f>IFERROR(VLOOKUP($D98,Base!$B$7:$L$119,2,FALSE),"")</f>
        <v>Negocio</v>
      </c>
      <c r="F98" s="144" t="str">
        <f>IFERROR(VLOOKUP($D98,Base!$B$7:$L$119,3,FALSE),"")</f>
        <v>STAR + Internet fijo</v>
      </c>
      <c r="G98" s="236">
        <f>ROUNDUP(IFERROR(VLOOKUP($D98,Base!$B$7:$L$119,9,FALSE),""),0)</f>
        <v>94</v>
      </c>
      <c r="H98" s="236">
        <f>ROUNDUP(IFERROR(VLOOKUP($D98,Base!$B$7:$L$119,10,FALSE),""),0)</f>
        <v>0</v>
      </c>
      <c r="I98" s="236">
        <f t="shared" si="2"/>
        <v>94</v>
      </c>
      <c r="J98" s="191">
        <f>IFERROR(VLOOKUP($D98,Base!$B$7:$L$119,5,FALSE),"")</f>
        <v>1E-4</v>
      </c>
      <c r="K98" s="192">
        <f>VLOOKUP(D98,Mercado!E239:$L$261,7,FALSE)</f>
        <v>56.872199999999999</v>
      </c>
      <c r="M98" s="126"/>
    </row>
    <row r="99" spans="2:13" x14ac:dyDescent="0.2">
      <c r="B99" s="214" t="s">
        <v>322</v>
      </c>
      <c r="C99" s="72">
        <f t="shared" si="3"/>
        <v>92</v>
      </c>
      <c r="D99" s="77" t="str">
        <v>TV Conecta Negocio + 500 Megas Simetrico Negocio</v>
      </c>
      <c r="E99" s="144" t="str">
        <f>IFERROR(VLOOKUP($D99,Base!$B$7:$L$119,2,FALSE),"")</f>
        <v>Negocio</v>
      </c>
      <c r="F99" s="144" t="str">
        <f>IFERROR(VLOOKUP($D99,Base!$B$7:$L$119,3,FALSE),"")</f>
        <v>STAR + Internet fijo</v>
      </c>
      <c r="G99" s="236">
        <f>ROUNDUP(IFERROR(VLOOKUP($D99,Base!$B$7:$L$119,9,FALSE),""),0)</f>
        <v>94</v>
      </c>
      <c r="H99" s="236">
        <f>ROUNDUP(IFERROR(VLOOKUP($D99,Base!$B$7:$L$119,10,FALSE),""),0)</f>
        <v>0</v>
      </c>
      <c r="I99" s="236">
        <f t="shared" si="2"/>
        <v>94</v>
      </c>
      <c r="J99" s="191">
        <f>IFERROR(VLOOKUP($D99,Base!$B$7:$L$119,5,FALSE),"")</f>
        <v>0</v>
      </c>
      <c r="K99" s="192">
        <f>VLOOKUP(D99,Mercado!E240:$L$261,7,FALSE)</f>
        <v>0</v>
      </c>
      <c r="M99" s="126"/>
    </row>
    <row r="100" spans="2:13" x14ac:dyDescent="0.2">
      <c r="B100" s="214" t="s">
        <v>322</v>
      </c>
      <c r="C100" s="72">
        <f t="shared" si="3"/>
        <v>93</v>
      </c>
      <c r="D100" s="77" t="str">
        <v>TV Conecta Negocio + 60 Megas Negocio</v>
      </c>
      <c r="E100" s="144" t="str">
        <f>IFERROR(VLOOKUP($D100,Base!$B$7:$L$119,2,FALSE),"")</f>
        <v>Negocio</v>
      </c>
      <c r="F100" s="144" t="str">
        <f>IFERROR(VLOOKUP($D100,Base!$B$7:$L$119,3,FALSE),"")</f>
        <v>STAR + Internet fijo</v>
      </c>
      <c r="G100" s="236">
        <f>ROUNDUP(IFERROR(VLOOKUP($D100,Base!$B$7:$L$119,9,FALSE),""),0)</f>
        <v>104</v>
      </c>
      <c r="H100" s="236">
        <f>ROUNDUP(IFERROR(VLOOKUP($D100,Base!$B$7:$L$119,10,FALSE),""),0)</f>
        <v>0</v>
      </c>
      <c r="I100" s="236">
        <f t="shared" si="2"/>
        <v>104</v>
      </c>
      <c r="J100" s="191">
        <f>IFERROR(VLOOKUP($D100,Base!$B$7:$L$119,5,FALSE),"")</f>
        <v>7.0000000000000001E-3</v>
      </c>
      <c r="K100" s="192">
        <f>VLOOKUP(D100,Mercado!E241:$L$261,7,FALSE)</f>
        <v>3981.0540000000001</v>
      </c>
      <c r="M100" s="126"/>
    </row>
    <row r="101" spans="2:13" x14ac:dyDescent="0.2">
      <c r="B101" s="214" t="s">
        <v>322</v>
      </c>
      <c r="C101" s="72">
        <f t="shared" si="3"/>
        <v>94</v>
      </c>
      <c r="D101" s="77" t="str">
        <v>TV Conecta Negocio + 60 Megas Simetrico Negocio</v>
      </c>
      <c r="E101" s="144" t="str">
        <f>IFERROR(VLOOKUP($D101,Base!$B$7:$L$119,2,FALSE),"")</f>
        <v>Negocio</v>
      </c>
      <c r="F101" s="144" t="str">
        <f>IFERROR(VLOOKUP($D101,Base!$B$7:$L$119,3,FALSE),"")</f>
        <v>STAR + Internet fijo</v>
      </c>
      <c r="G101" s="236">
        <f>ROUNDUP(IFERROR(VLOOKUP($D101,Base!$B$7:$L$119,9,FALSE),""),0)</f>
        <v>104</v>
      </c>
      <c r="H101" s="236">
        <f>ROUNDUP(IFERROR(VLOOKUP($D101,Base!$B$7:$L$119,10,FALSE),""),0)</f>
        <v>0</v>
      </c>
      <c r="I101" s="236">
        <f t="shared" si="2"/>
        <v>104</v>
      </c>
      <c r="J101" s="191">
        <f>IFERROR(VLOOKUP($D101,Base!$B$7:$L$119,5,FALSE),"")</f>
        <v>0</v>
      </c>
      <c r="K101" s="192">
        <f>VLOOKUP(D101,Mercado!E242:$L$261,7,FALSE)</f>
        <v>0</v>
      </c>
      <c r="M101" s="126"/>
    </row>
    <row r="102" spans="2:13" x14ac:dyDescent="0.2">
      <c r="B102" s="214" t="s">
        <v>322</v>
      </c>
      <c r="C102" s="72">
        <f t="shared" si="3"/>
        <v>95</v>
      </c>
      <c r="D102" s="77" t="str">
        <v>TV Conecta Xview+ + Telefonía + 100 Megas</v>
      </c>
      <c r="E102" s="144" t="str">
        <f>IFERROR(VLOOKUP($D102,Base!$B$7:$L$119,2,FALSE),"")</f>
        <v>Residencial</v>
      </c>
      <c r="F102" s="144" t="str">
        <f>IFERROR(VLOOKUP($D102,Base!$B$7:$L$119,3,FALSE),"")</f>
        <v>STAR + Internet fijo + Telefonía fija</v>
      </c>
      <c r="G102" s="236">
        <f>ROUNDUP(IFERROR(VLOOKUP($D102,Base!$B$7:$L$119,9,FALSE),""),0)</f>
        <v>77</v>
      </c>
      <c r="H102" s="236">
        <f>ROUNDUP(IFERROR(VLOOKUP($D102,Base!$B$7:$L$119,10,FALSE),""),0)</f>
        <v>61</v>
      </c>
      <c r="I102" s="236">
        <f t="shared" si="2"/>
        <v>138</v>
      </c>
      <c r="J102" s="191">
        <f>IFERROR(VLOOKUP($D102,Base!$B$7:$L$119,5,FALSE),"")</f>
        <v>0.24759999999999999</v>
      </c>
      <c r="K102" s="192">
        <f>VLOOKUP(D102,Mercado!E243:$L$261,7,FALSE)</f>
        <v>140815.56719999999</v>
      </c>
      <c r="M102" s="126"/>
    </row>
    <row r="103" spans="2:13" x14ac:dyDescent="0.2">
      <c r="B103" s="214" t="s">
        <v>322</v>
      </c>
      <c r="C103" s="72">
        <f t="shared" si="3"/>
        <v>96</v>
      </c>
      <c r="D103" s="77" t="str">
        <v>TV Conecta Xview+ + Telefonía + 100 Megas Simetrico</v>
      </c>
      <c r="E103" s="144" t="str">
        <f>IFERROR(VLOOKUP($D103,Base!$B$7:$L$119,2,FALSE),"")</f>
        <v>Residencial</v>
      </c>
      <c r="F103" s="144" t="str">
        <f>IFERROR(VLOOKUP($D103,Base!$B$7:$L$119,3,FALSE),"")</f>
        <v>STAR + Internet fijo + Telefonía fija</v>
      </c>
      <c r="G103" s="236">
        <f>ROUNDUP(IFERROR(VLOOKUP($D103,Base!$B$7:$L$119,9,FALSE),""),0)</f>
        <v>77</v>
      </c>
      <c r="H103" s="236">
        <f>ROUNDUP(IFERROR(VLOOKUP($D103,Base!$B$7:$L$119,10,FALSE),""),0)</f>
        <v>61</v>
      </c>
      <c r="I103" s="236">
        <f t="shared" si="2"/>
        <v>138</v>
      </c>
      <c r="J103" s="191">
        <f>IFERROR(VLOOKUP($D103,Base!$B$7:$L$119,5,FALSE),"")</f>
        <v>1E-4</v>
      </c>
      <c r="K103" s="192">
        <f>VLOOKUP(D103,Mercado!E244:$L$261,7,FALSE)</f>
        <v>56.872199999999999</v>
      </c>
      <c r="M103" s="126"/>
    </row>
    <row r="104" spans="2:13" x14ac:dyDescent="0.2">
      <c r="B104" s="214" t="s">
        <v>322</v>
      </c>
      <c r="C104" s="72">
        <f t="shared" si="3"/>
        <v>97</v>
      </c>
      <c r="D104" s="77" t="str">
        <v>TV Conecta Xview+ + Telefonía + 1000 Megas</v>
      </c>
      <c r="E104" s="144" t="str">
        <f>IFERROR(VLOOKUP($D104,Base!$B$7:$L$119,2,FALSE),"")</f>
        <v>Residencial</v>
      </c>
      <c r="F104" s="144" t="str">
        <f>IFERROR(VLOOKUP($D104,Base!$B$7:$L$119,3,FALSE),"")</f>
        <v>STAR + Internet fijo + Telefonía fija</v>
      </c>
      <c r="G104" s="236">
        <f>ROUNDUP(IFERROR(VLOOKUP($D104,Base!$B$7:$L$119,9,FALSE),""),0)</f>
        <v>77</v>
      </c>
      <c r="H104" s="236">
        <f>ROUNDUP(IFERROR(VLOOKUP($D104,Base!$B$7:$L$119,10,FALSE),""),0)</f>
        <v>61</v>
      </c>
      <c r="I104" s="236">
        <f t="shared" si="2"/>
        <v>138</v>
      </c>
      <c r="J104" s="191">
        <f>IFERROR(VLOOKUP($D104,Base!$B$7:$L$119,5,FALSE),"")</f>
        <v>2.0000000000000001E-4</v>
      </c>
      <c r="K104" s="192">
        <f>VLOOKUP(D104,Mercado!E245:$L$261,7,FALSE)</f>
        <v>113.7444</v>
      </c>
      <c r="M104" s="126"/>
    </row>
    <row r="105" spans="2:13" x14ac:dyDescent="0.2">
      <c r="B105" s="214" t="s">
        <v>322</v>
      </c>
      <c r="C105" s="72">
        <f t="shared" si="3"/>
        <v>98</v>
      </c>
      <c r="D105" s="77" t="str">
        <v>TV Conecta Xview+ + Telefonía + 250 Megas</v>
      </c>
      <c r="E105" s="144" t="str">
        <f>IFERROR(VLOOKUP($D105,Base!$B$7:$L$119,2,FALSE),"")</f>
        <v>Residencial</v>
      </c>
      <c r="F105" s="144" t="str">
        <f>IFERROR(VLOOKUP($D105,Base!$B$7:$L$119,3,FALSE),"")</f>
        <v>STAR + Internet fijo + Telefonía fija</v>
      </c>
      <c r="G105" s="236">
        <f>ROUNDUP(IFERROR(VLOOKUP($D105,Base!$B$7:$L$119,9,FALSE),""),0)</f>
        <v>77</v>
      </c>
      <c r="H105" s="236">
        <f>ROUNDUP(IFERROR(VLOOKUP($D105,Base!$B$7:$L$119,10,FALSE),""),0)</f>
        <v>61</v>
      </c>
      <c r="I105" s="236">
        <f t="shared" si="2"/>
        <v>138</v>
      </c>
      <c r="J105" s="191">
        <f>IFERROR(VLOOKUP($D105,Base!$B$7:$L$119,5,FALSE),"")</f>
        <v>8.7400000000000005E-2</v>
      </c>
      <c r="K105" s="192">
        <f>VLOOKUP(D105,Mercado!E246:$L$261,7,FALSE)</f>
        <v>49706.302800000005</v>
      </c>
      <c r="M105" s="126"/>
    </row>
    <row r="106" spans="2:13" x14ac:dyDescent="0.2">
      <c r="B106" s="214" t="s">
        <v>322</v>
      </c>
      <c r="C106" s="72">
        <f t="shared" si="3"/>
        <v>99</v>
      </c>
      <c r="D106" s="77" t="str">
        <v>TV Conecta Xview+ + Telefonía + 250 Megas Simetrico</v>
      </c>
      <c r="E106" s="144" t="str">
        <f>IFERROR(VLOOKUP($D106,Base!$B$7:$L$119,2,FALSE),"")</f>
        <v>Residencial</v>
      </c>
      <c r="F106" s="144" t="str">
        <f>IFERROR(VLOOKUP($D106,Base!$B$7:$L$119,3,FALSE),"")</f>
        <v>STAR + Internet fijo + Telefonía fija</v>
      </c>
      <c r="G106" s="236">
        <f>ROUNDUP(IFERROR(VLOOKUP($D106,Base!$B$7:$L$119,9,FALSE),""),0)</f>
        <v>77</v>
      </c>
      <c r="H106" s="236">
        <f>ROUNDUP(IFERROR(VLOOKUP($D106,Base!$B$7:$L$119,10,FALSE),""),0)</f>
        <v>61</v>
      </c>
      <c r="I106" s="236">
        <f t="shared" si="2"/>
        <v>138</v>
      </c>
      <c r="J106" s="191">
        <f>IFERROR(VLOOKUP($D106,Base!$B$7:$L$119,5,FALSE),"")</f>
        <v>1E-4</v>
      </c>
      <c r="K106" s="192">
        <f>VLOOKUP(D106,Mercado!E247:$L$261,7,FALSE)</f>
        <v>56.872199999999999</v>
      </c>
      <c r="M106" s="126"/>
    </row>
    <row r="107" spans="2:13" x14ac:dyDescent="0.2">
      <c r="B107" s="214" t="s">
        <v>322</v>
      </c>
      <c r="C107" s="72">
        <f t="shared" si="3"/>
        <v>100</v>
      </c>
      <c r="D107" s="77" t="str">
        <v>TV Conecta Xview+ + Telefonía + 500 Megas</v>
      </c>
      <c r="E107" s="144" t="str">
        <f>IFERROR(VLOOKUP($D107,Base!$B$7:$L$119,2,FALSE),"")</f>
        <v>Residencial</v>
      </c>
      <c r="F107" s="144" t="str">
        <f>IFERROR(VLOOKUP($D107,Base!$B$7:$L$119,3,FALSE),"")</f>
        <v>STAR + Internet fijo + Telefonía fija</v>
      </c>
      <c r="G107" s="236">
        <f>ROUNDUP(IFERROR(VLOOKUP($D107,Base!$B$7:$L$119,9,FALSE),""),0)</f>
        <v>77</v>
      </c>
      <c r="H107" s="236">
        <f>ROUNDUP(IFERROR(VLOOKUP($D107,Base!$B$7:$L$119,10,FALSE),""),0)</f>
        <v>61</v>
      </c>
      <c r="I107" s="236">
        <f t="shared" si="2"/>
        <v>138</v>
      </c>
      <c r="J107" s="191">
        <f>IFERROR(VLOOKUP($D107,Base!$B$7:$L$119,5,FALSE),"")</f>
        <v>3.2000000000000002E-3</v>
      </c>
      <c r="K107" s="192">
        <f>VLOOKUP(D107,Mercado!E248:$L$261,7,FALSE)</f>
        <v>1819.9104</v>
      </c>
      <c r="M107" s="126"/>
    </row>
    <row r="108" spans="2:13" x14ac:dyDescent="0.2">
      <c r="B108" s="214" t="s">
        <v>322</v>
      </c>
      <c r="C108" s="72">
        <f t="shared" si="3"/>
        <v>101</v>
      </c>
      <c r="D108" s="77" t="str">
        <v>TV Conecta Xview+ + Telefonía + 500 Megas Simetrico</v>
      </c>
      <c r="E108" s="144" t="str">
        <f>IFERROR(VLOOKUP($D108,Base!$B$7:$L$119,2,FALSE),"")</f>
        <v>Residencial</v>
      </c>
      <c r="F108" s="144" t="str">
        <f>IFERROR(VLOOKUP($D108,Base!$B$7:$L$119,3,FALSE),"")</f>
        <v>STAR + Internet fijo + Telefonía fija</v>
      </c>
      <c r="G108" s="236">
        <f>ROUNDUP(IFERROR(VLOOKUP($D108,Base!$B$7:$L$119,9,FALSE),""),0)</f>
        <v>77</v>
      </c>
      <c r="H108" s="236">
        <f>ROUNDUP(IFERROR(VLOOKUP($D108,Base!$B$7:$L$119,10,FALSE),""),0)</f>
        <v>61</v>
      </c>
      <c r="I108" s="236">
        <f t="shared" si="2"/>
        <v>138</v>
      </c>
      <c r="J108" s="191">
        <f>IFERROR(VLOOKUP($D108,Base!$B$7:$L$119,5,FALSE),"")</f>
        <v>1E-4</v>
      </c>
      <c r="K108" s="192">
        <f>VLOOKUP(D108,Mercado!E249:$L$261,7,FALSE)</f>
        <v>56.872199999999999</v>
      </c>
      <c r="M108" s="126"/>
    </row>
    <row r="109" spans="2:13" x14ac:dyDescent="0.2">
      <c r="B109" s="214" t="s">
        <v>322</v>
      </c>
      <c r="C109" s="72">
        <f t="shared" si="3"/>
        <v>102</v>
      </c>
      <c r="D109" s="77" t="str">
        <v>TV Conecta Xview+ + Telefonía + 60 Megas</v>
      </c>
      <c r="E109" s="144" t="str">
        <f>IFERROR(VLOOKUP($D109,Base!$B$7:$L$119,2,FALSE),"")</f>
        <v>Residencial</v>
      </c>
      <c r="F109" s="144" t="str">
        <f>IFERROR(VLOOKUP($D109,Base!$B$7:$L$119,3,FALSE),"")</f>
        <v>STAR + Internet fijo + Telefonía fija</v>
      </c>
      <c r="G109" s="236">
        <f>ROUNDUP(IFERROR(VLOOKUP($D109,Base!$B$7:$L$119,9,FALSE),""),0)</f>
        <v>81</v>
      </c>
      <c r="H109" s="236">
        <f>ROUNDUP(IFERROR(VLOOKUP($D109,Base!$B$7:$L$119,10,FALSE),""),0)</f>
        <v>63</v>
      </c>
      <c r="I109" s="236">
        <f t="shared" si="2"/>
        <v>144</v>
      </c>
      <c r="J109" s="191">
        <f>IFERROR(VLOOKUP($D109,Base!$B$7:$L$119,5,FALSE),"")</f>
        <v>0.43209999999999998</v>
      </c>
      <c r="K109" s="192">
        <f>VLOOKUP(D109,Mercado!E250:$L$261,7,FALSE)</f>
        <v>245744.77619999999</v>
      </c>
      <c r="M109" s="126"/>
    </row>
    <row r="110" spans="2:13" x14ac:dyDescent="0.2">
      <c r="B110" s="214" t="s">
        <v>322</v>
      </c>
      <c r="C110" s="72">
        <f t="shared" si="3"/>
        <v>103</v>
      </c>
      <c r="D110" s="77" t="str">
        <v>TV Conecta Xview+ + Telefonía + 60 Megas Simetrico</v>
      </c>
      <c r="E110" s="144" t="str">
        <f>IFERROR(VLOOKUP($D110,Base!$B$7:$L$119,2,FALSE),"")</f>
        <v>Residencial</v>
      </c>
      <c r="F110" s="144" t="str">
        <f>IFERROR(VLOOKUP($D110,Base!$B$7:$L$119,3,FALSE),"")</f>
        <v>STAR + Internet fijo + Telefonía fija</v>
      </c>
      <c r="G110" s="236">
        <f>ROUNDUP(IFERROR(VLOOKUP($D110,Base!$B$7:$L$119,9,FALSE),""),0)</f>
        <v>81</v>
      </c>
      <c r="H110" s="236">
        <f>ROUNDUP(IFERROR(VLOOKUP($D110,Base!$B$7:$L$119,10,FALSE),""),0)</f>
        <v>63</v>
      </c>
      <c r="I110" s="236">
        <f t="shared" si="2"/>
        <v>144</v>
      </c>
      <c r="J110" s="191">
        <f>IFERROR(VLOOKUP($D110,Base!$B$7:$L$119,5,FALSE),"")</f>
        <v>1E-4</v>
      </c>
      <c r="K110" s="192">
        <f>VLOOKUP(D110,Mercado!E251:$L$261,7,FALSE)</f>
        <v>56.872199999999999</v>
      </c>
      <c r="M110" s="126"/>
    </row>
    <row r="111" spans="2:13" x14ac:dyDescent="0.2">
      <c r="B111" s="214" t="s">
        <v>322</v>
      </c>
      <c r="C111" s="72">
        <f t="shared" si="3"/>
        <v>104</v>
      </c>
      <c r="D111" s="77" t="str">
        <v>TV Conecta Xview+ Negocio + Telefonía Negocio + 100 Megas Negocio</v>
      </c>
      <c r="E111" s="144" t="str">
        <f>IFERROR(VLOOKUP($D111,Base!$B$7:$L$119,2,FALSE),"")</f>
        <v>Negocio</v>
      </c>
      <c r="F111" s="144" t="str">
        <f>IFERROR(VLOOKUP($D111,Base!$B$7:$L$119,3,FALSE),"")</f>
        <v>STAR + Internet fijo + Telefonía fija</v>
      </c>
      <c r="G111" s="236">
        <f>ROUNDUP(IFERROR(VLOOKUP($D111,Base!$B$7:$L$119,9,FALSE),""),0)</f>
        <v>77</v>
      </c>
      <c r="H111" s="236">
        <f>ROUNDUP(IFERROR(VLOOKUP($D111,Base!$B$7:$L$119,10,FALSE),""),0)</f>
        <v>61</v>
      </c>
      <c r="I111" s="236">
        <f t="shared" si="2"/>
        <v>138</v>
      </c>
      <c r="J111" s="191">
        <f>IFERROR(VLOOKUP($D111,Base!$B$7:$L$119,5,FALSE),"")</f>
        <v>9.7999999999999997E-3</v>
      </c>
      <c r="K111" s="192">
        <f>VLOOKUP(D111,Mercado!E252:$L$261,7,FALSE)</f>
        <v>5573.4755999999998</v>
      </c>
      <c r="M111" s="126"/>
    </row>
    <row r="112" spans="2:13" x14ac:dyDescent="0.2">
      <c r="B112" s="214" t="s">
        <v>322</v>
      </c>
      <c r="C112" s="72">
        <f t="shared" si="3"/>
        <v>105</v>
      </c>
      <c r="D112" s="77" t="str">
        <v>TV Conecta Xview+ Negocio + Telefonía Negocio + 100 Megas Simetrico Negocio</v>
      </c>
      <c r="E112" s="144" t="str">
        <f>IFERROR(VLOOKUP($D112,Base!$B$7:$L$119,2,FALSE),"")</f>
        <v>Negocio</v>
      </c>
      <c r="F112" s="144" t="str">
        <f>IFERROR(VLOOKUP($D112,Base!$B$7:$L$119,3,FALSE),"")</f>
        <v>STAR + Internet fijo + Telefonía fija</v>
      </c>
      <c r="G112" s="236">
        <f>ROUNDUP(IFERROR(VLOOKUP($D112,Base!$B$7:$L$119,9,FALSE),""),0)</f>
        <v>77</v>
      </c>
      <c r="H112" s="236">
        <f>ROUNDUP(IFERROR(VLOOKUP($D112,Base!$B$7:$L$119,10,FALSE),""),0)</f>
        <v>61</v>
      </c>
      <c r="I112" s="236">
        <f t="shared" si="2"/>
        <v>138</v>
      </c>
      <c r="J112" s="191">
        <f>IFERROR(VLOOKUP($D112,Base!$B$7:$L$119,5,FALSE),"")</f>
        <v>1E-4</v>
      </c>
      <c r="K112" s="192">
        <f>VLOOKUP(D112,Mercado!E253:$L$261,7,FALSE)</f>
        <v>56.872199999999999</v>
      </c>
      <c r="M112" s="126"/>
    </row>
    <row r="113" spans="1:51" x14ac:dyDescent="0.2">
      <c r="B113" s="214" t="s">
        <v>322</v>
      </c>
      <c r="C113" s="72">
        <f t="shared" si="3"/>
        <v>106</v>
      </c>
      <c r="D113" s="77" t="str">
        <v>TV Conecta Xview+ Negocio + Telefonía Negocio + 1000 Megas Negocio</v>
      </c>
      <c r="E113" s="144" t="str">
        <f>IFERROR(VLOOKUP($D113,Base!$B$7:$L$119,2,FALSE),"")</f>
        <v>Negocio</v>
      </c>
      <c r="F113" s="144" t="str">
        <f>IFERROR(VLOOKUP($D113,Base!$B$7:$L$119,3,FALSE),"")</f>
        <v>STAR + Internet fijo + Telefonía fija</v>
      </c>
      <c r="G113" s="236">
        <f>ROUNDUP(IFERROR(VLOOKUP($D113,Base!$B$7:$L$119,9,FALSE),""),0)</f>
        <v>77</v>
      </c>
      <c r="H113" s="236">
        <f>ROUNDUP(IFERROR(VLOOKUP($D113,Base!$B$7:$L$119,10,FALSE),""),0)</f>
        <v>61</v>
      </c>
      <c r="I113" s="236">
        <f t="shared" si="2"/>
        <v>138</v>
      </c>
      <c r="J113" s="191">
        <f>IFERROR(VLOOKUP($D113,Base!$B$7:$L$119,5,FALSE),"")</f>
        <v>1E-4</v>
      </c>
      <c r="K113" s="192">
        <f>VLOOKUP(D113,Mercado!E254:$L$261,7,FALSE)</f>
        <v>56.872199999999999</v>
      </c>
      <c r="M113" s="126"/>
    </row>
    <row r="114" spans="1:51" x14ac:dyDescent="0.2">
      <c r="B114" s="214" t="s">
        <v>322</v>
      </c>
      <c r="C114" s="72">
        <f t="shared" si="3"/>
        <v>107</v>
      </c>
      <c r="D114" s="77" t="str">
        <v>TV Conecta Xview+ Negocio + Telefonía Negocio + 250 Megas Negocio</v>
      </c>
      <c r="E114" s="144" t="str">
        <f>IFERROR(VLOOKUP($D114,Base!$B$7:$L$119,2,FALSE),"")</f>
        <v>Negocio</v>
      </c>
      <c r="F114" s="144" t="str">
        <f>IFERROR(VLOOKUP($D114,Base!$B$7:$L$119,3,FALSE),"")</f>
        <v>STAR + Internet fijo + Telefonía fija</v>
      </c>
      <c r="G114" s="236">
        <f>ROUNDUP(IFERROR(VLOOKUP($D114,Base!$B$7:$L$119,9,FALSE),""),0)</f>
        <v>77</v>
      </c>
      <c r="H114" s="236">
        <f>ROUNDUP(IFERROR(VLOOKUP($D114,Base!$B$7:$L$119,10,FALSE),""),0)</f>
        <v>61</v>
      </c>
      <c r="I114" s="236">
        <f t="shared" si="2"/>
        <v>138</v>
      </c>
      <c r="J114" s="191">
        <f>IFERROR(VLOOKUP($D114,Base!$B$7:$L$119,5,FALSE),"")</f>
        <v>6.0000000000000001E-3</v>
      </c>
      <c r="K114" s="192">
        <f>VLOOKUP(D114,Mercado!E255:$L$261,7,FALSE)</f>
        <v>3412.3319999999999</v>
      </c>
      <c r="M114" s="126"/>
    </row>
    <row r="115" spans="1:51" x14ac:dyDescent="0.2">
      <c r="B115" s="214" t="s">
        <v>322</v>
      </c>
      <c r="C115" s="72">
        <f t="shared" si="3"/>
        <v>108</v>
      </c>
      <c r="D115" s="77" t="str">
        <v>TV Conecta Xview+ Negocio + Telefonía Negocio + 250 Megas Simetrico Negocio</v>
      </c>
      <c r="E115" s="144" t="str">
        <f>IFERROR(VLOOKUP($D115,Base!$B$7:$L$119,2,FALSE),"")</f>
        <v>Negocio</v>
      </c>
      <c r="F115" s="144" t="str">
        <f>IFERROR(VLOOKUP($D115,Base!$B$7:$L$119,3,FALSE),"")</f>
        <v>STAR + Internet fijo + Telefonía fija</v>
      </c>
      <c r="G115" s="236">
        <f>ROUNDUP(IFERROR(VLOOKUP($D115,Base!$B$7:$L$119,9,FALSE),""),0)</f>
        <v>77</v>
      </c>
      <c r="H115" s="236">
        <f>ROUNDUP(IFERROR(VLOOKUP($D115,Base!$B$7:$L$119,10,FALSE),""),0)</f>
        <v>61</v>
      </c>
      <c r="I115" s="236">
        <f t="shared" si="2"/>
        <v>138</v>
      </c>
      <c r="J115" s="191">
        <f>IFERROR(VLOOKUP($D115,Base!$B$7:$L$119,5,FALSE),"")</f>
        <v>1E-4</v>
      </c>
      <c r="K115" s="192">
        <f>VLOOKUP(D115,Mercado!E256:$L$261,7,FALSE)</f>
        <v>56.872199999999999</v>
      </c>
      <c r="M115" s="126"/>
    </row>
    <row r="116" spans="1:51" x14ac:dyDescent="0.2">
      <c r="B116" s="214" t="s">
        <v>322</v>
      </c>
      <c r="C116" s="72">
        <f t="shared" si="3"/>
        <v>109</v>
      </c>
      <c r="D116" s="77" t="str">
        <v>TV Conecta Xview+ Negocio + Telefonía Negocio + 500 Megas Negocio</v>
      </c>
      <c r="E116" s="144" t="str">
        <f>IFERROR(VLOOKUP($D116,Base!$B$7:$L$119,2,FALSE),"")</f>
        <v>Negocio</v>
      </c>
      <c r="F116" s="144" t="str">
        <f>IFERROR(VLOOKUP($D116,Base!$B$7:$L$119,3,FALSE),"")</f>
        <v>STAR + Internet fijo + Telefonía fija</v>
      </c>
      <c r="G116" s="236">
        <f>ROUNDUP(IFERROR(VLOOKUP($D116,Base!$B$7:$L$119,9,FALSE),""),0)</f>
        <v>77</v>
      </c>
      <c r="H116" s="236">
        <f>ROUNDUP(IFERROR(VLOOKUP($D116,Base!$B$7:$L$119,10,FALSE),""),0)</f>
        <v>61</v>
      </c>
      <c r="I116" s="236">
        <f t="shared" si="2"/>
        <v>138</v>
      </c>
      <c r="J116" s="191">
        <f>IFERROR(VLOOKUP($D116,Base!$B$7:$L$119,5,FALSE),"")</f>
        <v>2.9999999999999997E-4</v>
      </c>
      <c r="K116" s="192">
        <f>VLOOKUP(D116,Mercado!E257:$L$261,7,FALSE)</f>
        <v>170.61659999999998</v>
      </c>
      <c r="M116" s="126"/>
    </row>
    <row r="117" spans="1:51" x14ac:dyDescent="0.2">
      <c r="B117" s="214" t="s">
        <v>322</v>
      </c>
      <c r="C117" s="72">
        <f t="shared" si="3"/>
        <v>110</v>
      </c>
      <c r="D117" s="77" t="str">
        <v>TV Conecta Xview+ Negocio + Telefonía Negocio + 500 Megas Simetrico Negocio</v>
      </c>
      <c r="E117" s="144" t="str">
        <f>IFERROR(VLOOKUP($D117,Base!$B$7:$L$119,2,FALSE),"")</f>
        <v>Negocio</v>
      </c>
      <c r="F117" s="144" t="str">
        <f>IFERROR(VLOOKUP($D117,Base!$B$7:$L$119,3,FALSE),"")</f>
        <v>STAR + Internet fijo + Telefonía fija</v>
      </c>
      <c r="G117" s="236">
        <f>ROUNDUP(IFERROR(VLOOKUP($D117,Base!$B$7:$L$119,9,FALSE),""),0)</f>
        <v>77</v>
      </c>
      <c r="H117" s="236">
        <f>ROUNDUP(IFERROR(VLOOKUP($D117,Base!$B$7:$L$119,10,FALSE),""),0)</f>
        <v>61</v>
      </c>
      <c r="I117" s="236">
        <f t="shared" si="2"/>
        <v>138</v>
      </c>
      <c r="J117" s="191">
        <f>IFERROR(VLOOKUP($D117,Base!$B$7:$L$119,5,FALSE),"")</f>
        <v>1E-4</v>
      </c>
      <c r="K117" s="192">
        <f>VLOOKUP(D117,Mercado!E258:$L$261,7,FALSE)</f>
        <v>56.872199999999999</v>
      </c>
      <c r="M117" s="126"/>
    </row>
    <row r="118" spans="1:51" x14ac:dyDescent="0.2">
      <c r="B118" s="214" t="s">
        <v>322</v>
      </c>
      <c r="C118" s="72">
        <f t="shared" si="3"/>
        <v>111</v>
      </c>
      <c r="D118" s="77" t="str">
        <v>TV Conecta Xview+ Negocio + Telefonía Negocio + 60 Megas Negocio</v>
      </c>
      <c r="E118" s="144" t="str">
        <f>IFERROR(VLOOKUP($D118,Base!$B$7:$L$119,2,FALSE),"")</f>
        <v>Negocio</v>
      </c>
      <c r="F118" s="144" t="str">
        <f>IFERROR(VLOOKUP($D118,Base!$B$7:$L$119,3,FALSE),"")</f>
        <v>STAR + Internet fijo + Telefonía fija</v>
      </c>
      <c r="G118" s="236">
        <f>ROUNDUP(IFERROR(VLOOKUP($D118,Base!$B$7:$L$119,9,FALSE),""),0)</f>
        <v>81</v>
      </c>
      <c r="H118" s="236">
        <f>ROUNDUP(IFERROR(VLOOKUP($D118,Base!$B$7:$L$119,10,FALSE),""),0)</f>
        <v>63</v>
      </c>
      <c r="I118" s="236">
        <f t="shared" si="2"/>
        <v>144</v>
      </c>
      <c r="J118" s="191">
        <f>IFERROR(VLOOKUP($D118,Base!$B$7:$L$119,5,FALSE),"")</f>
        <v>1.9099999999999999E-2</v>
      </c>
      <c r="K118" s="192">
        <f>VLOOKUP(D118,Mercado!E259:$L$261,7,FALSE)</f>
        <v>10862.590199999999</v>
      </c>
      <c r="M118" s="126"/>
    </row>
    <row r="119" spans="1:51" x14ac:dyDescent="0.2">
      <c r="B119" s="214" t="s">
        <v>322</v>
      </c>
      <c r="C119" s="72">
        <f t="shared" si="3"/>
        <v>112</v>
      </c>
      <c r="D119" s="77" t="str">
        <v>TV Conecta Xview+ Negocio + Telefonía Negocio + 60 Megas Simetrico Negocio</v>
      </c>
      <c r="E119" s="144" t="str">
        <f>IFERROR(VLOOKUP($D119,Base!$B$7:$L$119,2,FALSE),"")</f>
        <v>Negocio</v>
      </c>
      <c r="F119" s="144" t="str">
        <f>IFERROR(VLOOKUP($D119,Base!$B$7:$L$119,3,FALSE),"")</f>
        <v>STAR + Internet fijo + Telefonía fija</v>
      </c>
      <c r="G119" s="236">
        <f>ROUNDUP(IFERROR(VLOOKUP($D119,Base!$B$7:$L$119,9,FALSE),""),0)</f>
        <v>81</v>
      </c>
      <c r="H119" s="236">
        <f>ROUNDUP(IFERROR(VLOOKUP($D119,Base!$B$7:$L$119,10,FALSE),""),0)</f>
        <v>63</v>
      </c>
      <c r="I119" s="236">
        <f t="shared" si="2"/>
        <v>144</v>
      </c>
      <c r="J119" s="191">
        <f>IFERROR(VLOOKUP($D119,Base!$B$7:$L$119,5,FALSE),"")</f>
        <v>1E-4</v>
      </c>
      <c r="K119" s="192">
        <f>VLOOKUP(D119,Mercado!E260:$L$261,7,FALSE)</f>
        <v>56.872199999999999</v>
      </c>
      <c r="M119" s="126"/>
    </row>
    <row r="120" spans="1:51" ht="12.75" thickBot="1" x14ac:dyDescent="0.25">
      <c r="B120" s="214" t="s">
        <v>421</v>
      </c>
      <c r="C120" s="72">
        <f t="shared" si="3"/>
        <v>113</v>
      </c>
      <c r="D120" s="77" t="str">
        <v>Full Connected Home</v>
      </c>
      <c r="E120" s="144" t="str">
        <f>IFERROR(VLOOKUP($D120,Base!$B$7:$L$119,2,FALSE),"")</f>
        <v>Residencial</v>
      </c>
      <c r="F120" s="144" t="str">
        <f>IFERROR(VLOOKUP($D120,Base!$B$7:$L$119,3,FALSE),"")</f>
        <v>STAR + Internet fijo + Telefonía fija</v>
      </c>
      <c r="G120" s="236">
        <f>ROUNDUP(IFERROR(VLOOKUP($D120,Base!$B$7:$L$119,9,FALSE),""),0)</f>
        <v>130</v>
      </c>
      <c r="H120" s="236">
        <f>ROUNDUP(IFERROR(VLOOKUP($D120,Base!$B$7:$L$119,10,FALSE),""),0)</f>
        <v>97</v>
      </c>
      <c r="I120" s="236">
        <f t="shared" si="2"/>
        <v>227</v>
      </c>
      <c r="J120" s="191">
        <f>IFERROR(VLOOKUP($D120,Base!$B$7:$L$119,5,FALSE),"")</f>
        <v>8.9999999999999993E-3</v>
      </c>
      <c r="K120" s="192">
        <f>VLOOKUP(D120,Mercado!E261:$L$261,7,FALSE)</f>
        <v>5118.4979999999996</v>
      </c>
      <c r="M120" s="126"/>
    </row>
    <row r="121" spans="1:51" ht="12.75" hidden="1" outlineLevel="1" thickBot="1" x14ac:dyDescent="0.25">
      <c r="B121" s="214" t="s">
        <v>421</v>
      </c>
      <c r="C121" s="72">
        <f t="shared" si="3"/>
        <v>114</v>
      </c>
      <c r="D121" s="77"/>
      <c r="E121" s="104"/>
      <c r="F121" s="86"/>
      <c r="G121" s="86"/>
      <c r="H121" s="107"/>
      <c r="I121" s="107"/>
      <c r="J121" s="107"/>
      <c r="K121" s="96"/>
    </row>
    <row r="122" spans="1:51" ht="11.25" customHeight="1" collapsed="1" x14ac:dyDescent="0.2">
      <c r="C122" s="38"/>
      <c r="D122" s="38"/>
      <c r="E122" s="38"/>
      <c r="F122" s="38"/>
      <c r="G122" s="38"/>
      <c r="H122" s="38"/>
      <c r="I122" s="38"/>
      <c r="J122" s="38"/>
      <c r="K122" s="38"/>
      <c r="L122" s="132" t="s">
        <v>208</v>
      </c>
      <c r="M122" s="38"/>
    </row>
    <row r="123" spans="1:51" x14ac:dyDescent="0.2">
      <c r="A123" s="76">
        <v>5</v>
      </c>
      <c r="B123" s="76" t="s">
        <v>439</v>
      </c>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row>
    <row r="125" spans="1:51" x14ac:dyDescent="0.2">
      <c r="J125" s="154"/>
      <c r="Q125" s="58" t="s">
        <v>446</v>
      </c>
      <c r="R125" s="58"/>
      <c r="S125" s="58"/>
      <c r="T125" s="58"/>
      <c r="U125" s="58"/>
      <c r="V125" s="58"/>
      <c r="W125" s="58"/>
      <c r="X125" s="58"/>
    </row>
    <row r="126" spans="1:51" ht="48" x14ac:dyDescent="0.2">
      <c r="C126" s="54" t="s">
        <v>130</v>
      </c>
      <c r="D126" s="54" t="s">
        <v>186</v>
      </c>
      <c r="E126" s="58"/>
      <c r="F126" s="1" t="s">
        <v>142</v>
      </c>
      <c r="G126" s="1" t="s">
        <v>141</v>
      </c>
      <c r="H126" s="1" t="s">
        <v>422</v>
      </c>
      <c r="I126" s="1" t="s">
        <v>469</v>
      </c>
      <c r="J126" s="1"/>
      <c r="K126" s="1" t="str">
        <f>"Suscriptores por el plan/paquete en el año "&amp;Year.selected</f>
        <v>Suscriptores por el plan/paquete en el año 2023</v>
      </c>
      <c r="L126" s="1"/>
      <c r="M126" s="1" t="s">
        <v>137</v>
      </c>
      <c r="Q126" s="152">
        <v>94</v>
      </c>
      <c r="R126" s="152">
        <v>104</v>
      </c>
      <c r="S126" s="152">
        <v>138</v>
      </c>
      <c r="T126" s="152">
        <v>144</v>
      </c>
      <c r="U126" s="152">
        <v>153</v>
      </c>
      <c r="V126" s="152">
        <v>218</v>
      </c>
      <c r="W126" s="152">
        <v>219</v>
      </c>
      <c r="X126" s="152">
        <v>227</v>
      </c>
    </row>
    <row r="127" spans="1:51" x14ac:dyDescent="0.2">
      <c r="B127" s="173" t="str">
        <f>D127&amp;F127</f>
        <v>TV Básico PlusSolo STAR</v>
      </c>
      <c r="C127" s="73">
        <v>1</v>
      </c>
      <c r="D127" s="77" t="str">
        <f t="shared" ref="D127:D158" si="4">D8</f>
        <v>TV Básico Plus</v>
      </c>
      <c r="F127" s="86" t="str">
        <f>IFERROR(VLOOKUP($D127,Base!$B$7:$L$119,3,FALSE),"")</f>
        <v>Solo STAR</v>
      </c>
      <c r="G127" s="86" t="str">
        <f>IFERROR(VLOOKUP($D127,Base!$B$7:$L$119,2,FALSE),"")</f>
        <v>Residencial</v>
      </c>
      <c r="H127" s="86">
        <f>IFERROR(VLOOKUP($D127,$D$8:$K$120,6,FALSE),"")</f>
        <v>153</v>
      </c>
      <c r="I127" s="108">
        <f>INDEX(vector.implicit.prices.STAR.before.discount,MATCH('Cálculos auxiliares'!D127,vector.plans.names,0))</f>
        <v>300.46869768999005</v>
      </c>
      <c r="J127" s="240"/>
      <c r="K127" s="195">
        <f>VLOOKUP(D127,$D$8:$K$120,8,FALSE)</f>
        <v>739.33859999999993</v>
      </c>
      <c r="M127" s="166" t="e">
        <f>LEFT(H127,FIND(" ",H127))*1</f>
        <v>#VALUE!</v>
      </c>
      <c r="Q127" s="72">
        <f>IF(Q$126=$H127,1,0)</f>
        <v>0</v>
      </c>
      <c r="R127" s="72">
        <f t="shared" ref="R127:X142" si="5">IF(R$126=$H127,1,0)</f>
        <v>0</v>
      </c>
      <c r="S127" s="72">
        <f t="shared" si="5"/>
        <v>0</v>
      </c>
      <c r="T127" s="72">
        <f t="shared" si="5"/>
        <v>0</v>
      </c>
      <c r="U127" s="72">
        <f t="shared" si="5"/>
        <v>1</v>
      </c>
      <c r="V127" s="72">
        <f t="shared" si="5"/>
        <v>0</v>
      </c>
      <c r="W127" s="72">
        <f t="shared" si="5"/>
        <v>0</v>
      </c>
      <c r="X127" s="72">
        <f t="shared" si="5"/>
        <v>0</v>
      </c>
    </row>
    <row r="128" spans="1:51" x14ac:dyDescent="0.2">
      <c r="B128" s="173" t="str">
        <f t="shared" ref="B128:B191" si="6">D128&amp;F128</f>
        <v>TV Básico Plus NegocioSolo STAR</v>
      </c>
      <c r="C128" s="72">
        <f>1+C127</f>
        <v>2</v>
      </c>
      <c r="D128" s="77" t="str">
        <f t="shared" si="4"/>
        <v>TV Básico Plus Negocio</v>
      </c>
      <c r="F128" s="86" t="str">
        <f>IFERROR(VLOOKUP($D128,Base!$B$7:$L$119,3,FALSE),"")</f>
        <v>Solo STAR</v>
      </c>
      <c r="G128" s="86" t="str">
        <f>IFERROR(VLOOKUP($D128,Base!$B$7:$L$119,2,FALSE),"")</f>
        <v>Negocio</v>
      </c>
      <c r="H128" s="86">
        <f t="shared" ref="H128:H191" si="7">IFERROR(VLOOKUP($D128,$D$8:$K$120,6,FALSE),"")</f>
        <v>153</v>
      </c>
      <c r="I128" s="108">
        <f>INDEX(vector.implicit.prices.STAR.before.discount,MATCH('Cálculos auxiliares'!D128,vector.plans.names,0))</f>
        <v>300.46869768999005</v>
      </c>
      <c r="J128" s="240"/>
      <c r="K128" s="195">
        <f t="shared" ref="K128:K191" si="8">VLOOKUP(D128,$D$8:$K$120,8,FALSE)</f>
        <v>56.872199999999999</v>
      </c>
      <c r="M128" s="166" t="e">
        <f t="shared" ref="M128:M191" si="9">LEFT(H128,FIND(" ",H128))*1</f>
        <v>#VALUE!</v>
      </c>
      <c r="Q128" s="72">
        <f t="shared" ref="Q128:T191" si="10">IF(Q$126=$H128,1,0)</f>
        <v>0</v>
      </c>
      <c r="R128" s="72">
        <f t="shared" si="5"/>
        <v>0</v>
      </c>
      <c r="S128" s="72">
        <f t="shared" si="5"/>
        <v>0</v>
      </c>
      <c r="T128" s="72">
        <f t="shared" si="5"/>
        <v>0</v>
      </c>
      <c r="U128" s="72">
        <f t="shared" si="5"/>
        <v>1</v>
      </c>
      <c r="V128" s="72">
        <f t="shared" si="5"/>
        <v>0</v>
      </c>
      <c r="W128" s="72">
        <f t="shared" si="5"/>
        <v>0</v>
      </c>
      <c r="X128" s="72">
        <f t="shared" si="5"/>
        <v>0</v>
      </c>
    </row>
    <row r="129" spans="2:24" x14ac:dyDescent="0.2">
      <c r="B129" s="173" t="str">
        <f t="shared" si="6"/>
        <v>TV Básico Plus + 100 MegasSTAR + Internet fijo</v>
      </c>
      <c r="C129" s="72">
        <f t="shared" ref="C129:C192" si="11">1+C128</f>
        <v>3</v>
      </c>
      <c r="D129" s="77" t="str">
        <f t="shared" si="4"/>
        <v>TV Básico Plus + 100 Megas</v>
      </c>
      <c r="F129" s="86" t="str">
        <f>IFERROR(VLOOKUP($D129,Base!$B$7:$L$119,3,FALSE),"")</f>
        <v>STAR + Internet fijo</v>
      </c>
      <c r="G129" s="86" t="str">
        <f>IFERROR(VLOOKUP($D129,Base!$B$7:$L$119,2,FALSE),"")</f>
        <v>Residencial</v>
      </c>
      <c r="H129" s="86">
        <f t="shared" si="7"/>
        <v>153</v>
      </c>
      <c r="I129" s="108">
        <f>INDEX(vector.implicit.prices.STAR.before.discount,MATCH('Cálculos auxiliares'!D129,vector.plans.names,0))</f>
        <v>300.46869768999005</v>
      </c>
      <c r="J129" s="240"/>
      <c r="K129" s="195">
        <f t="shared" si="8"/>
        <v>284.36099999999999</v>
      </c>
      <c r="M129" s="166" t="e">
        <f t="shared" si="9"/>
        <v>#VALUE!</v>
      </c>
      <c r="Q129" s="72">
        <f t="shared" si="10"/>
        <v>0</v>
      </c>
      <c r="R129" s="72">
        <f t="shared" si="5"/>
        <v>0</v>
      </c>
      <c r="S129" s="72">
        <f t="shared" si="5"/>
        <v>0</v>
      </c>
      <c r="T129" s="72">
        <f t="shared" si="5"/>
        <v>0</v>
      </c>
      <c r="U129" s="72">
        <f t="shared" si="5"/>
        <v>1</v>
      </c>
      <c r="V129" s="72">
        <f t="shared" si="5"/>
        <v>0</v>
      </c>
      <c r="W129" s="72">
        <f t="shared" si="5"/>
        <v>0</v>
      </c>
      <c r="X129" s="72">
        <f t="shared" si="5"/>
        <v>0</v>
      </c>
    </row>
    <row r="130" spans="2:24" hidden="1" x14ac:dyDescent="0.2">
      <c r="B130" s="173" t="str">
        <f t="shared" si="6"/>
        <v>TV Básico Plus + 100 Megas SimetricoSTAR + Internet fijo</v>
      </c>
      <c r="C130" s="72">
        <f t="shared" si="11"/>
        <v>4</v>
      </c>
      <c r="D130" s="77" t="str">
        <f t="shared" si="4"/>
        <v>TV Básico Plus + 100 Megas Simetrico</v>
      </c>
      <c r="F130" s="86" t="str">
        <f>IFERROR(VLOOKUP($D130,Base!$B$7:$L$119,3,FALSE),"")</f>
        <v>STAR + Internet fijo</v>
      </c>
      <c r="G130" s="86" t="str">
        <f>IFERROR(VLOOKUP($D130,Base!$B$7:$L$119,2,FALSE),"")</f>
        <v>Residencial</v>
      </c>
      <c r="H130" s="86">
        <f t="shared" si="7"/>
        <v>153</v>
      </c>
      <c r="I130" s="108">
        <f>INDEX(vector.implicit.prices.STAR.before.discount,MATCH('Cálculos auxiliares'!D130,vector.plans.names,0))</f>
        <v>300.46869768999005</v>
      </c>
      <c r="J130" s="240"/>
      <c r="K130" s="195">
        <f t="shared" si="8"/>
        <v>56.872199999999999</v>
      </c>
      <c r="M130" s="166" t="e">
        <f t="shared" si="9"/>
        <v>#VALUE!</v>
      </c>
      <c r="Q130" s="72">
        <f t="shared" si="10"/>
        <v>0</v>
      </c>
      <c r="R130" s="72">
        <f t="shared" si="5"/>
        <v>0</v>
      </c>
      <c r="S130" s="72">
        <f t="shared" si="5"/>
        <v>0</v>
      </c>
      <c r="T130" s="72">
        <f t="shared" si="5"/>
        <v>0</v>
      </c>
      <c r="U130" s="72">
        <f t="shared" si="5"/>
        <v>1</v>
      </c>
      <c r="V130" s="72">
        <f t="shared" si="5"/>
        <v>0</v>
      </c>
      <c r="W130" s="72">
        <f t="shared" si="5"/>
        <v>0</v>
      </c>
      <c r="X130" s="72">
        <f t="shared" si="5"/>
        <v>0</v>
      </c>
    </row>
    <row r="131" spans="2:24" x14ac:dyDescent="0.2">
      <c r="B131" s="173" t="str">
        <f t="shared" si="6"/>
        <v>TV Básico Plus + 1000 MegasSTAR + Internet fijo</v>
      </c>
      <c r="C131" s="72">
        <f t="shared" si="11"/>
        <v>5</v>
      </c>
      <c r="D131" s="77" t="str">
        <f t="shared" si="4"/>
        <v>TV Básico Plus + 1000 Megas</v>
      </c>
      <c r="F131" s="86" t="str">
        <f>IFERROR(VLOOKUP($D131,Base!$B$7:$L$119,3,FALSE),"")</f>
        <v>STAR + Internet fijo</v>
      </c>
      <c r="G131" s="86" t="str">
        <f>IFERROR(VLOOKUP($D131,Base!$B$7:$L$119,2,FALSE),"")</f>
        <v>Residencial</v>
      </c>
      <c r="H131" s="86">
        <f t="shared" si="7"/>
        <v>153</v>
      </c>
      <c r="I131" s="108">
        <f>INDEX(vector.implicit.prices.STAR.before.discount,MATCH('Cálculos auxiliares'!D131,vector.plans.names,0))</f>
        <v>300.46869768999005</v>
      </c>
      <c r="J131" s="240"/>
      <c r="K131" s="195">
        <f t="shared" si="8"/>
        <v>56.872199999999999</v>
      </c>
      <c r="M131" s="166" t="e">
        <f t="shared" si="9"/>
        <v>#VALUE!</v>
      </c>
      <c r="Q131" s="72">
        <f t="shared" si="10"/>
        <v>0</v>
      </c>
      <c r="R131" s="72">
        <f t="shared" si="5"/>
        <v>0</v>
      </c>
      <c r="S131" s="72">
        <f t="shared" si="5"/>
        <v>0</v>
      </c>
      <c r="T131" s="72">
        <f t="shared" si="5"/>
        <v>0</v>
      </c>
      <c r="U131" s="72">
        <f t="shared" si="5"/>
        <v>1</v>
      </c>
      <c r="V131" s="72">
        <f t="shared" si="5"/>
        <v>0</v>
      </c>
      <c r="W131" s="72">
        <f t="shared" si="5"/>
        <v>0</v>
      </c>
      <c r="X131" s="72">
        <f t="shared" si="5"/>
        <v>0</v>
      </c>
    </row>
    <row r="132" spans="2:24" x14ac:dyDescent="0.2">
      <c r="B132" s="173" t="str">
        <f t="shared" si="6"/>
        <v>TV Básico Plus + 250 MegasSTAR + Internet fijo</v>
      </c>
      <c r="C132" s="72">
        <f t="shared" si="11"/>
        <v>6</v>
      </c>
      <c r="D132" s="77" t="str">
        <f t="shared" si="4"/>
        <v>TV Básico Plus + 250 Megas</v>
      </c>
      <c r="F132" s="86" t="str">
        <f>IFERROR(VLOOKUP($D132,Base!$B$7:$L$119,3,FALSE),"")</f>
        <v>STAR + Internet fijo</v>
      </c>
      <c r="G132" s="86" t="str">
        <f>IFERROR(VLOOKUP($D132,Base!$B$7:$L$119,2,FALSE),"")</f>
        <v>Residencial</v>
      </c>
      <c r="H132" s="86">
        <f t="shared" si="7"/>
        <v>153</v>
      </c>
      <c r="I132" s="108">
        <f>INDEX(vector.implicit.prices.STAR.before.discount,MATCH('Cálculos auxiliares'!D132,vector.plans.names,0))</f>
        <v>300.46869768999005</v>
      </c>
      <c r="J132" s="240"/>
      <c r="K132" s="195">
        <f t="shared" si="8"/>
        <v>2559.2489999999998</v>
      </c>
      <c r="M132" s="166" t="e">
        <f t="shared" si="9"/>
        <v>#VALUE!</v>
      </c>
      <c r="Q132" s="72">
        <f t="shared" si="10"/>
        <v>0</v>
      </c>
      <c r="R132" s="72">
        <f t="shared" si="5"/>
        <v>0</v>
      </c>
      <c r="S132" s="72">
        <f t="shared" si="5"/>
        <v>0</v>
      </c>
      <c r="T132" s="72">
        <f t="shared" si="5"/>
        <v>0</v>
      </c>
      <c r="U132" s="72">
        <f t="shared" si="5"/>
        <v>1</v>
      </c>
      <c r="V132" s="72">
        <f t="shared" si="5"/>
        <v>0</v>
      </c>
      <c r="W132" s="72">
        <f t="shared" si="5"/>
        <v>0</v>
      </c>
      <c r="X132" s="72">
        <f t="shared" si="5"/>
        <v>0</v>
      </c>
    </row>
    <row r="133" spans="2:24" x14ac:dyDescent="0.2">
      <c r="B133" s="173" t="str">
        <f t="shared" si="6"/>
        <v>TV Básico Plus + 250 Megas SimetricoSTAR + Internet fijo</v>
      </c>
      <c r="C133" s="72">
        <f t="shared" si="11"/>
        <v>7</v>
      </c>
      <c r="D133" s="77" t="str">
        <f t="shared" si="4"/>
        <v>TV Básico Plus + 250 Megas Simetrico</v>
      </c>
      <c r="F133" s="86" t="str">
        <f>IFERROR(VLOOKUP($D133,Base!$B$7:$L$119,3,FALSE),"")</f>
        <v>STAR + Internet fijo</v>
      </c>
      <c r="G133" s="86" t="str">
        <f>IFERROR(VLOOKUP($D133,Base!$B$7:$L$119,2,FALSE),"")</f>
        <v>Residencial</v>
      </c>
      <c r="H133" s="86">
        <f t="shared" si="7"/>
        <v>153</v>
      </c>
      <c r="I133" s="108">
        <f>INDEX(vector.implicit.prices.STAR.before.discount,MATCH('Cálculos auxiliares'!D133,vector.plans.names,0))</f>
        <v>300.46869768999005</v>
      </c>
      <c r="J133" s="240"/>
      <c r="K133" s="195">
        <f t="shared" si="8"/>
        <v>0</v>
      </c>
      <c r="M133" s="166" t="e">
        <f t="shared" si="9"/>
        <v>#VALUE!</v>
      </c>
      <c r="Q133" s="72">
        <f t="shared" si="10"/>
        <v>0</v>
      </c>
      <c r="R133" s="72">
        <f t="shared" si="5"/>
        <v>0</v>
      </c>
      <c r="S133" s="72">
        <f t="shared" si="5"/>
        <v>0</v>
      </c>
      <c r="T133" s="72">
        <f t="shared" si="5"/>
        <v>0</v>
      </c>
      <c r="U133" s="72">
        <f t="shared" si="5"/>
        <v>1</v>
      </c>
      <c r="V133" s="72">
        <f t="shared" si="5"/>
        <v>0</v>
      </c>
      <c r="W133" s="72">
        <f t="shared" si="5"/>
        <v>0</v>
      </c>
      <c r="X133" s="72">
        <f t="shared" si="5"/>
        <v>0</v>
      </c>
    </row>
    <row r="134" spans="2:24" x14ac:dyDescent="0.2">
      <c r="B134" s="173" t="str">
        <f t="shared" si="6"/>
        <v>TV Básico Plus + 500 MegasSTAR + Internet fijo</v>
      </c>
      <c r="C134" s="72">
        <f t="shared" si="11"/>
        <v>8</v>
      </c>
      <c r="D134" s="77" t="str">
        <f t="shared" si="4"/>
        <v>TV Básico Plus + 500 Megas</v>
      </c>
      <c r="F134" s="86" t="str">
        <f>IFERROR(VLOOKUP($D134,Base!$B$7:$L$119,3,FALSE),"")</f>
        <v>STAR + Internet fijo</v>
      </c>
      <c r="G134" s="86" t="str">
        <f>IFERROR(VLOOKUP($D134,Base!$B$7:$L$119,2,FALSE),"")</f>
        <v>Residencial</v>
      </c>
      <c r="H134" s="86">
        <f t="shared" si="7"/>
        <v>153</v>
      </c>
      <c r="I134" s="108">
        <f>INDEX(vector.implicit.prices.STAR.before.discount,MATCH('Cálculos auxiliares'!D134,vector.plans.names,0))</f>
        <v>300.46869768999005</v>
      </c>
      <c r="J134" s="240"/>
      <c r="K134" s="195">
        <f t="shared" si="8"/>
        <v>2104.2714000000001</v>
      </c>
      <c r="M134" s="166" t="e">
        <f t="shared" si="9"/>
        <v>#VALUE!</v>
      </c>
      <c r="Q134" s="72">
        <f t="shared" si="10"/>
        <v>0</v>
      </c>
      <c r="R134" s="72">
        <f t="shared" si="5"/>
        <v>0</v>
      </c>
      <c r="S134" s="72">
        <f t="shared" si="5"/>
        <v>0</v>
      </c>
      <c r="T134" s="72">
        <f t="shared" si="5"/>
        <v>0</v>
      </c>
      <c r="U134" s="72">
        <f t="shared" si="5"/>
        <v>1</v>
      </c>
      <c r="V134" s="72">
        <f t="shared" si="5"/>
        <v>0</v>
      </c>
      <c r="W134" s="72">
        <f t="shared" si="5"/>
        <v>0</v>
      </c>
      <c r="X134" s="72">
        <f t="shared" si="5"/>
        <v>0</v>
      </c>
    </row>
    <row r="135" spans="2:24" x14ac:dyDescent="0.2">
      <c r="B135" s="173" t="str">
        <f t="shared" si="6"/>
        <v>TV Básico Plus + 500 Megas SimetricoSTAR + Internet fijo</v>
      </c>
      <c r="C135" s="72">
        <f t="shared" si="11"/>
        <v>9</v>
      </c>
      <c r="D135" s="77" t="str">
        <f t="shared" si="4"/>
        <v>TV Básico Plus + 500 Megas Simetrico</v>
      </c>
      <c r="F135" s="86" t="str">
        <f>IFERROR(VLOOKUP($D135,Base!$B$7:$L$119,3,FALSE),"")</f>
        <v>STAR + Internet fijo</v>
      </c>
      <c r="G135" s="86" t="str">
        <f>IFERROR(VLOOKUP($D135,Base!$B$7:$L$119,2,FALSE),"")</f>
        <v>Residencial</v>
      </c>
      <c r="H135" s="86">
        <f t="shared" si="7"/>
        <v>153</v>
      </c>
      <c r="I135" s="108">
        <f>INDEX(vector.implicit.prices.STAR.before.discount,MATCH('Cálculos auxiliares'!D135,vector.plans.names,0))</f>
        <v>300.46869768999005</v>
      </c>
      <c r="J135" s="240"/>
      <c r="K135" s="195">
        <f t="shared" si="8"/>
        <v>0</v>
      </c>
      <c r="M135" s="166" t="e">
        <f t="shared" si="9"/>
        <v>#VALUE!</v>
      </c>
      <c r="Q135" s="72">
        <f t="shared" si="10"/>
        <v>0</v>
      </c>
      <c r="R135" s="72">
        <f t="shared" si="5"/>
        <v>0</v>
      </c>
      <c r="S135" s="72">
        <f t="shared" si="5"/>
        <v>0</v>
      </c>
      <c r="T135" s="72">
        <f t="shared" si="5"/>
        <v>0</v>
      </c>
      <c r="U135" s="72">
        <f t="shared" si="5"/>
        <v>1</v>
      </c>
      <c r="V135" s="72">
        <f t="shared" si="5"/>
        <v>0</v>
      </c>
      <c r="W135" s="72">
        <f t="shared" si="5"/>
        <v>0</v>
      </c>
      <c r="X135" s="72">
        <f t="shared" si="5"/>
        <v>0</v>
      </c>
    </row>
    <row r="136" spans="2:24" x14ac:dyDescent="0.2">
      <c r="B136" s="173" t="str">
        <f t="shared" si="6"/>
        <v>TV Básico Plus + 60 MegasSTAR + Internet fijo</v>
      </c>
      <c r="C136" s="72">
        <f t="shared" si="11"/>
        <v>10</v>
      </c>
      <c r="D136" s="77" t="str">
        <f t="shared" si="4"/>
        <v>TV Básico Plus + 60 Megas</v>
      </c>
      <c r="F136" s="86" t="str">
        <f>IFERROR(VLOOKUP($D136,Base!$B$7:$L$119,3,FALSE),"")</f>
        <v>STAR + Internet fijo</v>
      </c>
      <c r="G136" s="86" t="str">
        <f>IFERROR(VLOOKUP($D136,Base!$B$7:$L$119,2,FALSE),"")</f>
        <v>Residencial</v>
      </c>
      <c r="H136" s="86">
        <f t="shared" si="7"/>
        <v>153</v>
      </c>
      <c r="I136" s="108">
        <f>INDEX(vector.implicit.prices.STAR.before.discount,MATCH('Cálculos auxiliares'!D136,vector.plans.names,0))</f>
        <v>300.46869768999005</v>
      </c>
      <c r="J136" s="240"/>
      <c r="K136" s="195">
        <f t="shared" si="8"/>
        <v>7279.6415999999999</v>
      </c>
      <c r="M136" s="166" t="e">
        <f t="shared" si="9"/>
        <v>#VALUE!</v>
      </c>
      <c r="Q136" s="72">
        <f t="shared" si="10"/>
        <v>0</v>
      </c>
      <c r="R136" s="72">
        <f t="shared" si="5"/>
        <v>0</v>
      </c>
      <c r="S136" s="72">
        <f t="shared" si="5"/>
        <v>0</v>
      </c>
      <c r="T136" s="72">
        <f t="shared" si="5"/>
        <v>0</v>
      </c>
      <c r="U136" s="72">
        <f t="shared" si="5"/>
        <v>1</v>
      </c>
      <c r="V136" s="72">
        <f t="shared" si="5"/>
        <v>0</v>
      </c>
      <c r="W136" s="72">
        <f t="shared" si="5"/>
        <v>0</v>
      </c>
      <c r="X136" s="72">
        <f t="shared" si="5"/>
        <v>0</v>
      </c>
    </row>
    <row r="137" spans="2:24" x14ac:dyDescent="0.2">
      <c r="B137" s="173" t="str">
        <f t="shared" si="6"/>
        <v>TV Básico Plus + 60 Megas SimetricoSTAR + Internet fijo</v>
      </c>
      <c r="C137" s="72">
        <f t="shared" si="11"/>
        <v>11</v>
      </c>
      <c r="D137" s="77" t="str">
        <f t="shared" si="4"/>
        <v>TV Básico Plus + 60 Megas Simetrico</v>
      </c>
      <c r="F137" s="86" t="str">
        <f>IFERROR(VLOOKUP($D137,Base!$B$7:$L$119,3,FALSE),"")</f>
        <v>STAR + Internet fijo</v>
      </c>
      <c r="G137" s="86" t="str">
        <f>IFERROR(VLOOKUP($D137,Base!$B$7:$L$119,2,FALSE),"")</f>
        <v>Residencial</v>
      </c>
      <c r="H137" s="86">
        <f t="shared" si="7"/>
        <v>153</v>
      </c>
      <c r="I137" s="108">
        <f>INDEX(vector.implicit.prices.STAR.before.discount,MATCH('Cálculos auxiliares'!D137,vector.plans.names,0))</f>
        <v>300.46869768999005</v>
      </c>
      <c r="J137" s="240"/>
      <c r="K137" s="195">
        <f t="shared" si="8"/>
        <v>0</v>
      </c>
      <c r="M137" s="166" t="e">
        <f t="shared" si="9"/>
        <v>#VALUE!</v>
      </c>
      <c r="Q137" s="72">
        <f t="shared" si="10"/>
        <v>0</v>
      </c>
      <c r="R137" s="72">
        <f t="shared" si="5"/>
        <v>0</v>
      </c>
      <c r="S137" s="72">
        <f t="shared" si="5"/>
        <v>0</v>
      </c>
      <c r="T137" s="72">
        <f t="shared" si="5"/>
        <v>0</v>
      </c>
      <c r="U137" s="72">
        <f t="shared" si="5"/>
        <v>1</v>
      </c>
      <c r="V137" s="72">
        <f t="shared" si="5"/>
        <v>0</v>
      </c>
      <c r="W137" s="72">
        <f t="shared" si="5"/>
        <v>0</v>
      </c>
      <c r="X137" s="72">
        <f t="shared" si="5"/>
        <v>0</v>
      </c>
    </row>
    <row r="138" spans="2:24" x14ac:dyDescent="0.2">
      <c r="B138" s="173" t="str">
        <f t="shared" si="6"/>
        <v>TV Básico Plus + HD + Telefonía + 100 MegasSTAR + Internet fijo + Telefonía fija</v>
      </c>
      <c r="C138" s="72">
        <f t="shared" si="11"/>
        <v>12</v>
      </c>
      <c r="D138" s="77" t="str">
        <f t="shared" si="4"/>
        <v>TV Básico Plus + HD + Telefonía + 100 Megas</v>
      </c>
      <c r="F138" s="86" t="str">
        <f>IFERROR(VLOOKUP($D138,Base!$B$7:$L$119,3,FALSE),"")</f>
        <v>STAR + Internet fijo + Telefonía fija</v>
      </c>
      <c r="G138" s="86" t="str">
        <f>IFERROR(VLOOKUP($D138,Base!$B$7:$L$119,2,FALSE),"")</f>
        <v>Residencial</v>
      </c>
      <c r="H138" s="86">
        <f t="shared" si="7"/>
        <v>218</v>
      </c>
      <c r="I138" s="108">
        <f>INDEX(vector.implicit.prices.STAR.before.discount,MATCH('Cálculos auxiliares'!D138,vector.plans.names,0))</f>
        <v>343.18184602486792</v>
      </c>
      <c r="J138" s="240"/>
      <c r="K138" s="195">
        <f t="shared" si="8"/>
        <v>0</v>
      </c>
      <c r="M138" s="166" t="e">
        <f t="shared" si="9"/>
        <v>#VALUE!</v>
      </c>
      <c r="Q138" s="72">
        <f t="shared" si="10"/>
        <v>0</v>
      </c>
      <c r="R138" s="72">
        <f t="shared" si="5"/>
        <v>0</v>
      </c>
      <c r="S138" s="72">
        <f t="shared" si="5"/>
        <v>0</v>
      </c>
      <c r="T138" s="72">
        <f t="shared" si="5"/>
        <v>0</v>
      </c>
      <c r="U138" s="72">
        <f t="shared" si="5"/>
        <v>0</v>
      </c>
      <c r="V138" s="72">
        <f t="shared" si="5"/>
        <v>1</v>
      </c>
      <c r="W138" s="72">
        <f t="shared" si="5"/>
        <v>0</v>
      </c>
      <c r="X138" s="72">
        <f t="shared" si="5"/>
        <v>0</v>
      </c>
    </row>
    <row r="139" spans="2:24" x14ac:dyDescent="0.2">
      <c r="B139" s="173" t="str">
        <f t="shared" si="6"/>
        <v>TV Básico Plus + HD + Telefonía + 100 Megas SimetricoSTAR + Internet fijo + Telefonía fija</v>
      </c>
      <c r="C139" s="72">
        <f t="shared" si="11"/>
        <v>13</v>
      </c>
      <c r="D139" s="77" t="str">
        <f t="shared" si="4"/>
        <v>TV Básico Plus + HD + Telefonía + 100 Megas Simetrico</v>
      </c>
      <c r="F139" s="86" t="str">
        <f>IFERROR(VLOOKUP($D139,Base!$B$7:$L$119,3,FALSE),"")</f>
        <v>STAR + Internet fijo + Telefonía fija</v>
      </c>
      <c r="G139" s="86" t="str">
        <f>IFERROR(VLOOKUP($D139,Base!$B$7:$L$119,2,FALSE),"")</f>
        <v>Residencial</v>
      </c>
      <c r="H139" s="86">
        <f t="shared" si="7"/>
        <v>218</v>
      </c>
      <c r="I139" s="108">
        <f>INDEX(vector.implicit.prices.STAR.before.discount,MATCH('Cálculos auxiliares'!D139,vector.plans.names,0))</f>
        <v>343.18184602486792</v>
      </c>
      <c r="J139" s="240"/>
      <c r="K139" s="195">
        <f t="shared" si="8"/>
        <v>0</v>
      </c>
      <c r="M139" s="166" t="e">
        <f t="shared" si="9"/>
        <v>#VALUE!</v>
      </c>
      <c r="Q139" s="72">
        <f t="shared" si="10"/>
        <v>0</v>
      </c>
      <c r="R139" s="72">
        <f t="shared" si="5"/>
        <v>0</v>
      </c>
      <c r="S139" s="72">
        <f t="shared" si="5"/>
        <v>0</v>
      </c>
      <c r="T139" s="72">
        <f t="shared" si="5"/>
        <v>0</v>
      </c>
      <c r="U139" s="72">
        <f t="shared" si="5"/>
        <v>0</v>
      </c>
      <c r="V139" s="72">
        <f t="shared" si="5"/>
        <v>1</v>
      </c>
      <c r="W139" s="72">
        <f t="shared" si="5"/>
        <v>0</v>
      </c>
      <c r="X139" s="72">
        <f t="shared" si="5"/>
        <v>0</v>
      </c>
    </row>
    <row r="140" spans="2:24" x14ac:dyDescent="0.2">
      <c r="B140" s="173" t="str">
        <f t="shared" si="6"/>
        <v>TV Básico Plus + HD + Telefonía + 1000 MegasSTAR + Internet fijo + Telefonía fija</v>
      </c>
      <c r="C140" s="72">
        <f t="shared" si="11"/>
        <v>14</v>
      </c>
      <c r="D140" s="77" t="str">
        <f t="shared" si="4"/>
        <v>TV Básico Plus + HD + Telefonía + 1000 Megas</v>
      </c>
      <c r="F140" s="86" t="str">
        <f>IFERROR(VLOOKUP($D140,Base!$B$7:$L$119,3,FALSE),"")</f>
        <v>STAR + Internet fijo + Telefonía fija</v>
      </c>
      <c r="G140" s="86" t="str">
        <f>IFERROR(VLOOKUP($D140,Base!$B$7:$L$119,2,FALSE),"")</f>
        <v>Residencial</v>
      </c>
      <c r="H140" s="86">
        <f t="shared" si="7"/>
        <v>218</v>
      </c>
      <c r="I140" s="108">
        <f>INDEX(vector.implicit.prices.STAR.before.discount,MATCH('Cálculos auxiliares'!D140,vector.plans.names,0))</f>
        <v>343.18184602486792</v>
      </c>
      <c r="J140" s="240"/>
      <c r="K140" s="195">
        <f t="shared" si="8"/>
        <v>0</v>
      </c>
      <c r="M140" s="166" t="e">
        <f t="shared" si="9"/>
        <v>#VALUE!</v>
      </c>
      <c r="Q140" s="72">
        <f t="shared" si="10"/>
        <v>0</v>
      </c>
      <c r="R140" s="72">
        <f t="shared" si="5"/>
        <v>0</v>
      </c>
      <c r="S140" s="72">
        <f t="shared" si="5"/>
        <v>0</v>
      </c>
      <c r="T140" s="72">
        <f t="shared" si="5"/>
        <v>0</v>
      </c>
      <c r="U140" s="72">
        <f t="shared" si="5"/>
        <v>0</v>
      </c>
      <c r="V140" s="72">
        <f t="shared" si="5"/>
        <v>1</v>
      </c>
      <c r="W140" s="72">
        <f t="shared" si="5"/>
        <v>0</v>
      </c>
      <c r="X140" s="72">
        <f t="shared" si="5"/>
        <v>0</v>
      </c>
    </row>
    <row r="141" spans="2:24" x14ac:dyDescent="0.2">
      <c r="B141" s="173" t="str">
        <f t="shared" si="6"/>
        <v>TV Básico Plus + HD + Telefonía + 250 MegasSTAR + Internet fijo + Telefonía fija</v>
      </c>
      <c r="C141" s="72">
        <f t="shared" si="11"/>
        <v>15</v>
      </c>
      <c r="D141" s="77" t="str">
        <f t="shared" si="4"/>
        <v>TV Básico Plus + HD + Telefonía + 250 Megas</v>
      </c>
      <c r="F141" s="86" t="str">
        <f>IFERROR(VLOOKUP($D141,Base!$B$7:$L$119,3,FALSE),"")</f>
        <v>STAR + Internet fijo + Telefonía fija</v>
      </c>
      <c r="G141" s="86" t="str">
        <f>IFERROR(VLOOKUP($D141,Base!$B$7:$L$119,2,FALSE),"")</f>
        <v>Residencial</v>
      </c>
      <c r="H141" s="86">
        <f t="shared" si="7"/>
        <v>218</v>
      </c>
      <c r="I141" s="108">
        <f>INDEX(vector.implicit.prices.STAR.before.discount,MATCH('Cálculos auxiliares'!D141,vector.plans.names,0))</f>
        <v>343.18184602486792</v>
      </c>
      <c r="J141" s="240"/>
      <c r="K141" s="195">
        <f t="shared" si="8"/>
        <v>0</v>
      </c>
      <c r="M141" s="166" t="e">
        <f t="shared" si="9"/>
        <v>#VALUE!</v>
      </c>
      <c r="Q141" s="72">
        <f t="shared" si="10"/>
        <v>0</v>
      </c>
      <c r="R141" s="72">
        <f t="shared" si="5"/>
        <v>0</v>
      </c>
      <c r="S141" s="72">
        <f t="shared" si="5"/>
        <v>0</v>
      </c>
      <c r="T141" s="72">
        <f t="shared" si="5"/>
        <v>0</v>
      </c>
      <c r="U141" s="72">
        <f t="shared" si="5"/>
        <v>0</v>
      </c>
      <c r="V141" s="72">
        <f t="shared" si="5"/>
        <v>1</v>
      </c>
      <c r="W141" s="72">
        <f t="shared" si="5"/>
        <v>0</v>
      </c>
      <c r="X141" s="72">
        <f t="shared" si="5"/>
        <v>0</v>
      </c>
    </row>
    <row r="142" spans="2:24" x14ac:dyDescent="0.2">
      <c r="B142" s="173" t="str">
        <f t="shared" si="6"/>
        <v>TV Básico Plus + HD + Telefonía + 250 Megas SimetricoSTAR + Internet fijo + Telefonía fija</v>
      </c>
      <c r="C142" s="72">
        <f t="shared" si="11"/>
        <v>16</v>
      </c>
      <c r="D142" s="77" t="str">
        <f t="shared" si="4"/>
        <v>TV Básico Plus + HD + Telefonía + 250 Megas Simetrico</v>
      </c>
      <c r="F142" s="86" t="str">
        <f>IFERROR(VLOOKUP($D142,Base!$B$7:$L$119,3,FALSE),"")</f>
        <v>STAR + Internet fijo + Telefonía fija</v>
      </c>
      <c r="G142" s="86" t="str">
        <f>IFERROR(VLOOKUP($D142,Base!$B$7:$L$119,2,FALSE),"")</f>
        <v>Residencial</v>
      </c>
      <c r="H142" s="86">
        <f t="shared" si="7"/>
        <v>218</v>
      </c>
      <c r="I142" s="108">
        <f>INDEX(vector.implicit.prices.STAR.before.discount,MATCH('Cálculos auxiliares'!D142,vector.plans.names,0))</f>
        <v>343.18184602486792</v>
      </c>
      <c r="J142" s="240"/>
      <c r="K142" s="195">
        <f t="shared" si="8"/>
        <v>0</v>
      </c>
      <c r="M142" s="166" t="e">
        <f t="shared" si="9"/>
        <v>#VALUE!</v>
      </c>
      <c r="Q142" s="72">
        <f t="shared" si="10"/>
        <v>0</v>
      </c>
      <c r="R142" s="72">
        <f t="shared" si="5"/>
        <v>0</v>
      </c>
      <c r="S142" s="72">
        <f t="shared" si="5"/>
        <v>0</v>
      </c>
      <c r="T142" s="72">
        <f t="shared" si="5"/>
        <v>0</v>
      </c>
      <c r="U142" s="72">
        <f t="shared" si="5"/>
        <v>0</v>
      </c>
      <c r="V142" s="72">
        <f t="shared" si="5"/>
        <v>1</v>
      </c>
      <c r="W142" s="72">
        <f t="shared" si="5"/>
        <v>0</v>
      </c>
      <c r="X142" s="72">
        <f t="shared" si="5"/>
        <v>0</v>
      </c>
    </row>
    <row r="143" spans="2:24" x14ac:dyDescent="0.2">
      <c r="B143" s="173" t="str">
        <f t="shared" si="6"/>
        <v>TV Básico Plus + HD + Telefonía + 500 MegasSTAR + Internet fijo + Telefonía fija</v>
      </c>
      <c r="C143" s="72">
        <f t="shared" si="11"/>
        <v>17</v>
      </c>
      <c r="D143" s="77" t="str">
        <f t="shared" si="4"/>
        <v>TV Básico Plus + HD + Telefonía + 500 Megas</v>
      </c>
      <c r="F143" s="86" t="str">
        <f>IFERROR(VLOOKUP($D143,Base!$B$7:$L$119,3,FALSE),"")</f>
        <v>STAR + Internet fijo + Telefonía fija</v>
      </c>
      <c r="G143" s="86" t="str">
        <f>IFERROR(VLOOKUP($D143,Base!$B$7:$L$119,2,FALSE),"")</f>
        <v>Residencial</v>
      </c>
      <c r="H143" s="86">
        <f t="shared" si="7"/>
        <v>218</v>
      </c>
      <c r="I143" s="108">
        <f>INDEX(vector.implicit.prices.STAR.before.discount,MATCH('Cálculos auxiliares'!D143,vector.plans.names,0))</f>
        <v>343.18184602486792</v>
      </c>
      <c r="J143" s="240"/>
      <c r="K143" s="195">
        <f t="shared" si="8"/>
        <v>0</v>
      </c>
      <c r="M143" s="166" t="e">
        <f t="shared" si="9"/>
        <v>#VALUE!</v>
      </c>
      <c r="Q143" s="72">
        <f t="shared" si="10"/>
        <v>0</v>
      </c>
      <c r="R143" s="72">
        <f t="shared" si="10"/>
        <v>0</v>
      </c>
      <c r="S143" s="72">
        <f t="shared" si="10"/>
        <v>0</v>
      </c>
      <c r="T143" s="72">
        <f t="shared" si="10"/>
        <v>0</v>
      </c>
      <c r="U143" s="72">
        <f t="shared" ref="U143:X206" si="12">IF(U$126=$H143,1,0)</f>
        <v>0</v>
      </c>
      <c r="V143" s="72">
        <f t="shared" si="12"/>
        <v>1</v>
      </c>
      <c r="W143" s="72">
        <f t="shared" si="12"/>
        <v>0</v>
      </c>
      <c r="X143" s="72">
        <f t="shared" si="12"/>
        <v>0</v>
      </c>
    </row>
    <row r="144" spans="2:24" x14ac:dyDescent="0.2">
      <c r="B144" s="173" t="str">
        <f t="shared" si="6"/>
        <v>TV Básico Plus + HD + Telefonía + 500 Megas SimetricoSTAR + Internet fijo + Telefonía fija</v>
      </c>
      <c r="C144" s="72">
        <f t="shared" si="11"/>
        <v>18</v>
      </c>
      <c r="D144" s="77" t="str">
        <f t="shared" si="4"/>
        <v>TV Básico Plus + HD + Telefonía + 500 Megas Simetrico</v>
      </c>
      <c r="F144" s="86" t="str">
        <f>IFERROR(VLOOKUP($D144,Base!$B$7:$L$119,3,FALSE),"")</f>
        <v>STAR + Internet fijo + Telefonía fija</v>
      </c>
      <c r="G144" s="86" t="str">
        <f>IFERROR(VLOOKUP($D144,Base!$B$7:$L$119,2,FALSE),"")</f>
        <v>Residencial</v>
      </c>
      <c r="H144" s="86">
        <f t="shared" si="7"/>
        <v>218</v>
      </c>
      <c r="I144" s="108">
        <f>INDEX(vector.implicit.prices.STAR.before.discount,MATCH('Cálculos auxiliares'!D144,vector.plans.names,0))</f>
        <v>343.18184602486792</v>
      </c>
      <c r="J144" s="240"/>
      <c r="K144" s="195">
        <f t="shared" si="8"/>
        <v>0</v>
      </c>
      <c r="M144" s="166" t="e">
        <f t="shared" si="9"/>
        <v>#VALUE!</v>
      </c>
      <c r="Q144" s="72">
        <f t="shared" si="10"/>
        <v>0</v>
      </c>
      <c r="R144" s="72">
        <f t="shared" si="10"/>
        <v>0</v>
      </c>
      <c r="S144" s="72">
        <f t="shared" si="10"/>
        <v>0</v>
      </c>
      <c r="T144" s="72">
        <f t="shared" si="10"/>
        <v>0</v>
      </c>
      <c r="U144" s="72">
        <f t="shared" si="12"/>
        <v>0</v>
      </c>
      <c r="V144" s="72">
        <f t="shared" si="12"/>
        <v>1</v>
      </c>
      <c r="W144" s="72">
        <f t="shared" si="12"/>
        <v>0</v>
      </c>
      <c r="X144" s="72">
        <f t="shared" si="12"/>
        <v>0</v>
      </c>
    </row>
    <row r="145" spans="2:24" x14ac:dyDescent="0.2">
      <c r="B145" s="173" t="str">
        <f t="shared" si="6"/>
        <v>TV Básico Plus + HD + Telefonía + 60 MegasSTAR + Internet fijo + Telefonía fija</v>
      </c>
      <c r="C145" s="72">
        <f t="shared" si="11"/>
        <v>19</v>
      </c>
      <c r="D145" s="77" t="str">
        <f t="shared" si="4"/>
        <v>TV Básico Plus + HD + Telefonía + 60 Megas</v>
      </c>
      <c r="F145" s="86" t="str">
        <f>IFERROR(VLOOKUP($D145,Base!$B$7:$L$119,3,FALSE),"")</f>
        <v>STAR + Internet fijo + Telefonía fija</v>
      </c>
      <c r="G145" s="86" t="str">
        <f>IFERROR(VLOOKUP($D145,Base!$B$7:$L$119,2,FALSE),"")</f>
        <v>Residencial</v>
      </c>
      <c r="H145" s="86">
        <f t="shared" si="7"/>
        <v>218</v>
      </c>
      <c r="I145" s="108">
        <f>INDEX(vector.implicit.prices.STAR.before.discount,MATCH('Cálculos auxiliares'!D145,vector.plans.names,0))</f>
        <v>343.18184602486792</v>
      </c>
      <c r="J145" s="240"/>
      <c r="K145" s="195">
        <f t="shared" si="8"/>
        <v>0</v>
      </c>
      <c r="M145" s="166" t="e">
        <f t="shared" si="9"/>
        <v>#VALUE!</v>
      </c>
      <c r="Q145" s="72">
        <f t="shared" si="10"/>
        <v>0</v>
      </c>
      <c r="R145" s="72">
        <f t="shared" si="10"/>
        <v>0</v>
      </c>
      <c r="S145" s="72">
        <f t="shared" si="10"/>
        <v>0</v>
      </c>
      <c r="T145" s="72">
        <f t="shared" si="10"/>
        <v>0</v>
      </c>
      <c r="U145" s="72">
        <f t="shared" si="12"/>
        <v>0</v>
      </c>
      <c r="V145" s="72">
        <f t="shared" si="12"/>
        <v>1</v>
      </c>
      <c r="W145" s="72">
        <f t="shared" si="12"/>
        <v>0</v>
      </c>
      <c r="X145" s="72">
        <f t="shared" si="12"/>
        <v>0</v>
      </c>
    </row>
    <row r="146" spans="2:24" x14ac:dyDescent="0.2">
      <c r="B146" s="173" t="str">
        <f t="shared" si="6"/>
        <v>TV Básico Plus + HD + Telefonía + 60 Megas SimetricoSTAR + Internet fijo + Telefonía fija</v>
      </c>
      <c r="C146" s="72">
        <f t="shared" si="11"/>
        <v>20</v>
      </c>
      <c r="D146" s="77" t="str">
        <f t="shared" si="4"/>
        <v>TV Básico Plus + HD + Telefonía + 60 Megas Simetrico</v>
      </c>
      <c r="F146" s="86" t="str">
        <f>IFERROR(VLOOKUP($D146,Base!$B$7:$L$119,3,FALSE),"")</f>
        <v>STAR + Internet fijo + Telefonía fija</v>
      </c>
      <c r="G146" s="86" t="str">
        <f>IFERROR(VLOOKUP($D146,Base!$B$7:$L$119,2,FALSE),"")</f>
        <v>Residencial</v>
      </c>
      <c r="H146" s="86">
        <f t="shared" si="7"/>
        <v>218</v>
      </c>
      <c r="I146" s="108">
        <f>INDEX(vector.implicit.prices.STAR.before.discount,MATCH('Cálculos auxiliares'!D146,vector.plans.names,0))</f>
        <v>343.18184602486792</v>
      </c>
      <c r="J146" s="240"/>
      <c r="K146" s="195">
        <f t="shared" si="8"/>
        <v>0</v>
      </c>
      <c r="M146" s="166" t="e">
        <f t="shared" si="9"/>
        <v>#VALUE!</v>
      </c>
      <c r="Q146" s="72">
        <f t="shared" si="10"/>
        <v>0</v>
      </c>
      <c r="R146" s="72">
        <f t="shared" si="10"/>
        <v>0</v>
      </c>
      <c r="S146" s="72">
        <f t="shared" si="10"/>
        <v>0</v>
      </c>
      <c r="T146" s="72">
        <f t="shared" si="10"/>
        <v>0</v>
      </c>
      <c r="U146" s="72">
        <f t="shared" si="12"/>
        <v>0</v>
      </c>
      <c r="V146" s="72">
        <f t="shared" si="12"/>
        <v>1</v>
      </c>
      <c r="W146" s="72">
        <f t="shared" si="12"/>
        <v>0</v>
      </c>
      <c r="X146" s="72">
        <f t="shared" si="12"/>
        <v>0</v>
      </c>
    </row>
    <row r="147" spans="2:24" x14ac:dyDescent="0.2">
      <c r="B147" s="173" t="str">
        <f t="shared" si="6"/>
        <v>TV Básico Plus + HD Negocio + Telefonía Negocio + 100 Megas NegocioSTAR + Internet fijo + Telefonía fija</v>
      </c>
      <c r="C147" s="72">
        <f t="shared" si="11"/>
        <v>21</v>
      </c>
      <c r="D147" s="77" t="str">
        <f t="shared" si="4"/>
        <v>TV Básico Plus + HD Negocio + Telefonía Negocio + 100 Megas Negocio</v>
      </c>
      <c r="F147" s="86" t="str">
        <f>IFERROR(VLOOKUP($D147,Base!$B$7:$L$119,3,FALSE),"")</f>
        <v>STAR + Internet fijo + Telefonía fija</v>
      </c>
      <c r="G147" s="86" t="str">
        <f>IFERROR(VLOOKUP($D147,Base!$B$7:$L$119,2,FALSE),"")</f>
        <v>Negocio</v>
      </c>
      <c r="H147" s="86">
        <f t="shared" si="7"/>
        <v>218</v>
      </c>
      <c r="I147" s="108">
        <f>INDEX(vector.implicit.prices.STAR.before.discount,MATCH('Cálculos auxiliares'!D147,vector.plans.names,0))</f>
        <v>343.18184602486792</v>
      </c>
      <c r="J147" s="240"/>
      <c r="K147" s="195">
        <f t="shared" si="8"/>
        <v>0</v>
      </c>
      <c r="M147" s="166" t="e">
        <f t="shared" si="9"/>
        <v>#VALUE!</v>
      </c>
      <c r="Q147" s="72">
        <f t="shared" si="10"/>
        <v>0</v>
      </c>
      <c r="R147" s="72">
        <f t="shared" si="10"/>
        <v>0</v>
      </c>
      <c r="S147" s="72">
        <f t="shared" si="10"/>
        <v>0</v>
      </c>
      <c r="T147" s="72">
        <f t="shared" si="10"/>
        <v>0</v>
      </c>
      <c r="U147" s="72">
        <f t="shared" si="12"/>
        <v>0</v>
      </c>
      <c r="V147" s="72">
        <f t="shared" si="12"/>
        <v>1</v>
      </c>
      <c r="W147" s="72">
        <f t="shared" si="12"/>
        <v>0</v>
      </c>
      <c r="X147" s="72">
        <f t="shared" si="12"/>
        <v>0</v>
      </c>
    </row>
    <row r="148" spans="2:24" x14ac:dyDescent="0.2">
      <c r="B148" s="173" t="str">
        <f t="shared" si="6"/>
        <v>TV Básico Plus + HD Negocio + Telefonía Negocio + 100 Megas Simetrico NegocioSTAR + Internet fijo + Telefonía fija</v>
      </c>
      <c r="C148" s="72">
        <f t="shared" si="11"/>
        <v>22</v>
      </c>
      <c r="D148" s="77" t="str">
        <f t="shared" si="4"/>
        <v>TV Básico Plus + HD Negocio + Telefonía Negocio + 100 Megas Simetrico Negocio</v>
      </c>
      <c r="F148" s="86" t="str">
        <f>IFERROR(VLOOKUP($D148,Base!$B$7:$L$119,3,FALSE),"")</f>
        <v>STAR + Internet fijo + Telefonía fija</v>
      </c>
      <c r="G148" s="86" t="str">
        <f>IFERROR(VLOOKUP($D148,Base!$B$7:$L$119,2,FALSE),"")</f>
        <v>Negocio</v>
      </c>
      <c r="H148" s="86">
        <f t="shared" si="7"/>
        <v>218</v>
      </c>
      <c r="I148" s="108">
        <f>INDEX(vector.implicit.prices.STAR.before.discount,MATCH('Cálculos auxiliares'!D148,vector.plans.names,0))</f>
        <v>343.18184602486792</v>
      </c>
      <c r="J148" s="240"/>
      <c r="K148" s="195">
        <f t="shared" si="8"/>
        <v>0</v>
      </c>
      <c r="M148" s="166" t="e">
        <f t="shared" si="9"/>
        <v>#VALUE!</v>
      </c>
      <c r="Q148" s="72">
        <f t="shared" si="10"/>
        <v>0</v>
      </c>
      <c r="R148" s="72">
        <f t="shared" si="10"/>
        <v>0</v>
      </c>
      <c r="S148" s="72">
        <f t="shared" si="10"/>
        <v>0</v>
      </c>
      <c r="T148" s="72">
        <f t="shared" si="10"/>
        <v>0</v>
      </c>
      <c r="U148" s="72">
        <f t="shared" si="12"/>
        <v>0</v>
      </c>
      <c r="V148" s="72">
        <f t="shared" si="12"/>
        <v>1</v>
      </c>
      <c r="W148" s="72">
        <f t="shared" si="12"/>
        <v>0</v>
      </c>
      <c r="X148" s="72">
        <f t="shared" si="12"/>
        <v>0</v>
      </c>
    </row>
    <row r="149" spans="2:24" x14ac:dyDescent="0.2">
      <c r="B149" s="173" t="str">
        <f t="shared" si="6"/>
        <v>TV Básico Plus + HD Negocio + Telefonía Negocio + 1000 Megas NegocioSTAR + Internet fijo + Telefonía fija</v>
      </c>
      <c r="C149" s="72">
        <f t="shared" si="11"/>
        <v>23</v>
      </c>
      <c r="D149" s="77" t="str">
        <f t="shared" si="4"/>
        <v>TV Básico Plus + HD Negocio + Telefonía Negocio + 1000 Megas Negocio</v>
      </c>
      <c r="F149" s="86" t="str">
        <f>IFERROR(VLOOKUP($D149,Base!$B$7:$L$119,3,FALSE),"")</f>
        <v>STAR + Internet fijo + Telefonía fija</v>
      </c>
      <c r="G149" s="86" t="str">
        <f>IFERROR(VLOOKUP($D149,Base!$B$7:$L$119,2,FALSE),"")</f>
        <v>Negocio</v>
      </c>
      <c r="H149" s="86">
        <f t="shared" si="7"/>
        <v>218</v>
      </c>
      <c r="I149" s="108">
        <f>INDEX(vector.implicit.prices.STAR.before.discount,MATCH('Cálculos auxiliares'!D149,vector.plans.names,0))</f>
        <v>343.18184602486792</v>
      </c>
      <c r="J149" s="240"/>
      <c r="K149" s="195">
        <f t="shared" si="8"/>
        <v>0</v>
      </c>
      <c r="M149" s="166" t="e">
        <f t="shared" si="9"/>
        <v>#VALUE!</v>
      </c>
      <c r="Q149" s="72">
        <f t="shared" si="10"/>
        <v>0</v>
      </c>
      <c r="R149" s="72">
        <f t="shared" si="10"/>
        <v>0</v>
      </c>
      <c r="S149" s="72">
        <f t="shared" si="10"/>
        <v>0</v>
      </c>
      <c r="T149" s="72">
        <f t="shared" si="10"/>
        <v>0</v>
      </c>
      <c r="U149" s="72">
        <f t="shared" si="12"/>
        <v>0</v>
      </c>
      <c r="V149" s="72">
        <f t="shared" si="12"/>
        <v>1</v>
      </c>
      <c r="W149" s="72">
        <f t="shared" si="12"/>
        <v>0</v>
      </c>
      <c r="X149" s="72">
        <f t="shared" si="12"/>
        <v>0</v>
      </c>
    </row>
    <row r="150" spans="2:24" x14ac:dyDescent="0.2">
      <c r="B150" s="173" t="str">
        <f t="shared" si="6"/>
        <v>TV Básico Plus + HD Negocio + Telefonía Negocio + 250 Megas NegocioSTAR + Internet fijo + Telefonía fija</v>
      </c>
      <c r="C150" s="72">
        <f t="shared" si="11"/>
        <v>24</v>
      </c>
      <c r="D150" s="77" t="str">
        <f t="shared" si="4"/>
        <v>TV Básico Plus + HD Negocio + Telefonía Negocio + 250 Megas Negocio</v>
      </c>
      <c r="F150" s="86" t="str">
        <f>IFERROR(VLOOKUP($D150,Base!$B$7:$L$119,3,FALSE),"")</f>
        <v>STAR + Internet fijo + Telefonía fija</v>
      </c>
      <c r="G150" s="86" t="str">
        <f>IFERROR(VLOOKUP($D150,Base!$B$7:$L$119,2,FALSE),"")</f>
        <v>Negocio</v>
      </c>
      <c r="H150" s="86">
        <f t="shared" si="7"/>
        <v>218</v>
      </c>
      <c r="I150" s="108">
        <f>INDEX(vector.implicit.prices.STAR.before.discount,MATCH('Cálculos auxiliares'!D150,vector.plans.names,0))</f>
        <v>343.18184602486792</v>
      </c>
      <c r="J150" s="240"/>
      <c r="K150" s="195">
        <f t="shared" si="8"/>
        <v>0</v>
      </c>
      <c r="M150" s="166" t="e">
        <f t="shared" si="9"/>
        <v>#VALUE!</v>
      </c>
      <c r="Q150" s="72">
        <f t="shared" si="10"/>
        <v>0</v>
      </c>
      <c r="R150" s="72">
        <f t="shared" si="10"/>
        <v>0</v>
      </c>
      <c r="S150" s="72">
        <f t="shared" si="10"/>
        <v>0</v>
      </c>
      <c r="T150" s="72">
        <f t="shared" si="10"/>
        <v>0</v>
      </c>
      <c r="U150" s="72">
        <f t="shared" si="12"/>
        <v>0</v>
      </c>
      <c r="V150" s="72">
        <f t="shared" si="12"/>
        <v>1</v>
      </c>
      <c r="W150" s="72">
        <f t="shared" si="12"/>
        <v>0</v>
      </c>
      <c r="X150" s="72">
        <f t="shared" si="12"/>
        <v>0</v>
      </c>
    </row>
    <row r="151" spans="2:24" x14ac:dyDescent="0.2">
      <c r="B151" s="173" t="str">
        <f t="shared" si="6"/>
        <v>TV Básico Plus + HD Negocio + Telefonía Negocio + 250 Megas Simetrico NegocioSTAR + Internet fijo + Telefonía fija</v>
      </c>
      <c r="C151" s="72">
        <f t="shared" si="11"/>
        <v>25</v>
      </c>
      <c r="D151" s="77" t="str">
        <f t="shared" si="4"/>
        <v>TV Básico Plus + HD Negocio + Telefonía Negocio + 250 Megas Simetrico Negocio</v>
      </c>
      <c r="F151" s="86" t="str">
        <f>IFERROR(VLOOKUP($D151,Base!$B$7:$L$119,3,FALSE),"")</f>
        <v>STAR + Internet fijo + Telefonía fija</v>
      </c>
      <c r="G151" s="86" t="str">
        <f>IFERROR(VLOOKUP($D151,Base!$B$7:$L$119,2,FALSE),"")</f>
        <v>Negocio</v>
      </c>
      <c r="H151" s="86">
        <f t="shared" si="7"/>
        <v>218</v>
      </c>
      <c r="I151" s="108">
        <f>INDEX(vector.implicit.prices.STAR.before.discount,MATCH('Cálculos auxiliares'!D151,vector.plans.names,0))</f>
        <v>343.18184602486792</v>
      </c>
      <c r="J151" s="240"/>
      <c r="K151" s="195">
        <f t="shared" si="8"/>
        <v>0</v>
      </c>
      <c r="M151" s="166" t="e">
        <f t="shared" si="9"/>
        <v>#VALUE!</v>
      </c>
      <c r="Q151" s="72">
        <f t="shared" si="10"/>
        <v>0</v>
      </c>
      <c r="R151" s="72">
        <f t="shared" si="10"/>
        <v>0</v>
      </c>
      <c r="S151" s="72">
        <f t="shared" si="10"/>
        <v>0</v>
      </c>
      <c r="T151" s="72">
        <f t="shared" si="10"/>
        <v>0</v>
      </c>
      <c r="U151" s="72">
        <f t="shared" si="12"/>
        <v>0</v>
      </c>
      <c r="V151" s="72">
        <f t="shared" si="12"/>
        <v>1</v>
      </c>
      <c r="W151" s="72">
        <f t="shared" si="12"/>
        <v>0</v>
      </c>
      <c r="X151" s="72">
        <f t="shared" si="12"/>
        <v>0</v>
      </c>
    </row>
    <row r="152" spans="2:24" x14ac:dyDescent="0.2">
      <c r="B152" s="173" t="str">
        <f t="shared" si="6"/>
        <v>TV Básico Plus + HD Negocio + Telefonía Negocio + 500 Megas NegocioSTAR + Internet fijo + Telefonía fija</v>
      </c>
      <c r="C152" s="72">
        <f t="shared" si="11"/>
        <v>26</v>
      </c>
      <c r="D152" s="77" t="str">
        <f t="shared" si="4"/>
        <v>TV Básico Plus + HD Negocio + Telefonía Negocio + 500 Megas Negocio</v>
      </c>
      <c r="F152" s="86" t="str">
        <f>IFERROR(VLOOKUP($D152,Base!$B$7:$L$119,3,FALSE),"")</f>
        <v>STAR + Internet fijo + Telefonía fija</v>
      </c>
      <c r="G152" s="86" t="str">
        <f>IFERROR(VLOOKUP($D152,Base!$B$7:$L$119,2,FALSE),"")</f>
        <v>Negocio</v>
      </c>
      <c r="H152" s="86">
        <f t="shared" si="7"/>
        <v>218</v>
      </c>
      <c r="I152" s="108">
        <f>INDEX(vector.implicit.prices.STAR.before.discount,MATCH('Cálculos auxiliares'!D152,vector.plans.names,0))</f>
        <v>343.18184602486792</v>
      </c>
      <c r="J152" s="240"/>
      <c r="K152" s="195">
        <f t="shared" si="8"/>
        <v>0</v>
      </c>
      <c r="M152" s="166" t="e">
        <f t="shared" si="9"/>
        <v>#VALUE!</v>
      </c>
      <c r="Q152" s="72">
        <f t="shared" si="10"/>
        <v>0</v>
      </c>
      <c r="R152" s="72">
        <f t="shared" si="10"/>
        <v>0</v>
      </c>
      <c r="S152" s="72">
        <f t="shared" si="10"/>
        <v>0</v>
      </c>
      <c r="T152" s="72">
        <f t="shared" si="10"/>
        <v>0</v>
      </c>
      <c r="U152" s="72">
        <f t="shared" si="12"/>
        <v>0</v>
      </c>
      <c r="V152" s="72">
        <f t="shared" si="12"/>
        <v>1</v>
      </c>
      <c r="W152" s="72">
        <f t="shared" si="12"/>
        <v>0</v>
      </c>
      <c r="X152" s="72">
        <f t="shared" si="12"/>
        <v>0</v>
      </c>
    </row>
    <row r="153" spans="2:24" x14ac:dyDescent="0.2">
      <c r="B153" s="173" t="str">
        <f t="shared" si="6"/>
        <v>TV Básico Plus + HD Negocio + Telefonía Negocio + 500 Megas Simetrico NegocioSTAR + Internet fijo + Telefonía fija</v>
      </c>
      <c r="C153" s="72">
        <f t="shared" si="11"/>
        <v>27</v>
      </c>
      <c r="D153" s="77" t="str">
        <f t="shared" si="4"/>
        <v>TV Básico Plus + HD Negocio + Telefonía Negocio + 500 Megas Simetrico Negocio</v>
      </c>
      <c r="F153" s="86" t="str">
        <f>IFERROR(VLOOKUP($D153,Base!$B$7:$L$119,3,FALSE),"")</f>
        <v>STAR + Internet fijo + Telefonía fija</v>
      </c>
      <c r="G153" s="86" t="str">
        <f>IFERROR(VLOOKUP($D153,Base!$B$7:$L$119,2,FALSE),"")</f>
        <v>Negocio</v>
      </c>
      <c r="H153" s="86">
        <f t="shared" si="7"/>
        <v>218</v>
      </c>
      <c r="I153" s="108">
        <f>INDEX(vector.implicit.prices.STAR.before.discount,MATCH('Cálculos auxiliares'!D153,vector.plans.names,0))</f>
        <v>343.18184602486792</v>
      </c>
      <c r="J153" s="240"/>
      <c r="K153" s="195">
        <f t="shared" si="8"/>
        <v>0</v>
      </c>
      <c r="M153" s="166" t="e">
        <f t="shared" si="9"/>
        <v>#VALUE!</v>
      </c>
      <c r="Q153" s="72">
        <f t="shared" si="10"/>
        <v>0</v>
      </c>
      <c r="R153" s="72">
        <f t="shared" si="10"/>
        <v>0</v>
      </c>
      <c r="S153" s="72">
        <f t="shared" si="10"/>
        <v>0</v>
      </c>
      <c r="T153" s="72">
        <f t="shared" si="10"/>
        <v>0</v>
      </c>
      <c r="U153" s="72">
        <f t="shared" si="12"/>
        <v>0</v>
      </c>
      <c r="V153" s="72">
        <f t="shared" si="12"/>
        <v>1</v>
      </c>
      <c r="W153" s="72">
        <f t="shared" si="12"/>
        <v>0</v>
      </c>
      <c r="X153" s="72">
        <f t="shared" si="12"/>
        <v>0</v>
      </c>
    </row>
    <row r="154" spans="2:24" x14ac:dyDescent="0.2">
      <c r="B154" s="173" t="str">
        <f t="shared" si="6"/>
        <v>TV Básico Plus + HD Negocio + Telefonía Negocio + 60 Megas NegocioSTAR + Internet fijo + Telefonía fija</v>
      </c>
      <c r="C154" s="72">
        <f t="shared" si="11"/>
        <v>28</v>
      </c>
      <c r="D154" s="77" t="str">
        <f t="shared" si="4"/>
        <v>TV Básico Plus + HD Negocio + Telefonía Negocio + 60 Megas Negocio</v>
      </c>
      <c r="F154" s="86" t="str">
        <f>IFERROR(VLOOKUP($D154,Base!$B$7:$L$119,3,FALSE),"")</f>
        <v>STAR + Internet fijo + Telefonía fija</v>
      </c>
      <c r="G154" s="86" t="str">
        <f>IFERROR(VLOOKUP($D154,Base!$B$7:$L$119,2,FALSE),"")</f>
        <v>Negocio</v>
      </c>
      <c r="H154" s="86">
        <f t="shared" si="7"/>
        <v>218</v>
      </c>
      <c r="I154" s="108">
        <f>INDEX(vector.implicit.prices.STAR.before.discount,MATCH('Cálculos auxiliares'!D154,vector.plans.names,0))</f>
        <v>343.18184602486792</v>
      </c>
      <c r="J154" s="240"/>
      <c r="K154" s="195">
        <f t="shared" si="8"/>
        <v>0</v>
      </c>
      <c r="M154" s="166" t="e">
        <f t="shared" si="9"/>
        <v>#VALUE!</v>
      </c>
      <c r="Q154" s="72">
        <f t="shared" si="10"/>
        <v>0</v>
      </c>
      <c r="R154" s="72">
        <f t="shared" si="10"/>
        <v>0</v>
      </c>
      <c r="S154" s="72">
        <f t="shared" si="10"/>
        <v>0</v>
      </c>
      <c r="T154" s="72">
        <f t="shared" si="10"/>
        <v>0</v>
      </c>
      <c r="U154" s="72">
        <f t="shared" si="12"/>
        <v>0</v>
      </c>
      <c r="V154" s="72">
        <f t="shared" si="12"/>
        <v>1</v>
      </c>
      <c r="W154" s="72">
        <f t="shared" si="12"/>
        <v>0</v>
      </c>
      <c r="X154" s="72">
        <f t="shared" si="12"/>
        <v>0</v>
      </c>
    </row>
    <row r="155" spans="2:24" x14ac:dyDescent="0.2">
      <c r="B155" s="173" t="str">
        <f t="shared" si="6"/>
        <v>TV Básico Plus + HD Negocio + Telefonía Negocio + 60 Megas Simetrico NegocioSTAR + Internet fijo + Telefonía fija</v>
      </c>
      <c r="C155" s="72">
        <f t="shared" si="11"/>
        <v>29</v>
      </c>
      <c r="D155" s="77" t="str">
        <f t="shared" si="4"/>
        <v>TV Básico Plus + HD Negocio + Telefonía Negocio + 60 Megas Simetrico Negocio</v>
      </c>
      <c r="F155" s="86" t="str">
        <f>IFERROR(VLOOKUP($D155,Base!$B$7:$L$119,3,FALSE),"")</f>
        <v>STAR + Internet fijo + Telefonía fija</v>
      </c>
      <c r="G155" s="86" t="str">
        <f>IFERROR(VLOOKUP($D155,Base!$B$7:$L$119,2,FALSE),"")</f>
        <v>Negocio</v>
      </c>
      <c r="H155" s="86">
        <f t="shared" si="7"/>
        <v>218</v>
      </c>
      <c r="I155" s="108">
        <f>INDEX(vector.implicit.prices.STAR.before.discount,MATCH('Cálculos auxiliares'!D155,vector.plans.names,0))</f>
        <v>343.18184602486792</v>
      </c>
      <c r="J155" s="240"/>
      <c r="K155" s="195">
        <f t="shared" si="8"/>
        <v>0</v>
      </c>
      <c r="L155" s="154"/>
      <c r="M155" s="166" t="e">
        <f t="shared" si="9"/>
        <v>#VALUE!</v>
      </c>
      <c r="Q155" s="72">
        <f t="shared" si="10"/>
        <v>0</v>
      </c>
      <c r="R155" s="72">
        <f t="shared" si="10"/>
        <v>0</v>
      </c>
      <c r="S155" s="72">
        <f t="shared" si="10"/>
        <v>0</v>
      </c>
      <c r="T155" s="72">
        <f t="shared" si="10"/>
        <v>0</v>
      </c>
      <c r="U155" s="72">
        <f t="shared" si="12"/>
        <v>0</v>
      </c>
      <c r="V155" s="72">
        <f t="shared" si="12"/>
        <v>1</v>
      </c>
      <c r="W155" s="72">
        <f t="shared" si="12"/>
        <v>0</v>
      </c>
      <c r="X155" s="72">
        <f t="shared" si="12"/>
        <v>0</v>
      </c>
    </row>
    <row r="156" spans="2:24" x14ac:dyDescent="0.2">
      <c r="B156" s="173" t="str">
        <f t="shared" si="6"/>
        <v>TV Básico Plus Negocio + 100 Megas NegocioSTAR + Internet fijo</v>
      </c>
      <c r="C156" s="72">
        <f t="shared" si="11"/>
        <v>30</v>
      </c>
      <c r="D156" s="77" t="str">
        <f t="shared" si="4"/>
        <v>TV Básico Plus Negocio + 100 Megas Negocio</v>
      </c>
      <c r="F156" s="86" t="str">
        <f>IFERROR(VLOOKUP($D156,Base!$B$7:$L$119,3,FALSE),"")</f>
        <v>STAR + Internet fijo</v>
      </c>
      <c r="G156" s="86" t="str">
        <f>IFERROR(VLOOKUP($D156,Base!$B$7:$L$119,2,FALSE),"")</f>
        <v>Negocio</v>
      </c>
      <c r="H156" s="86">
        <f t="shared" si="7"/>
        <v>153</v>
      </c>
      <c r="I156" s="108">
        <f>INDEX(vector.implicit.prices.STAR.before.discount,MATCH('Cálculos auxiliares'!D156,vector.plans.names,0))</f>
        <v>300.46869768999005</v>
      </c>
      <c r="J156" s="240"/>
      <c r="K156" s="195">
        <f t="shared" si="8"/>
        <v>56.872199999999999</v>
      </c>
      <c r="M156" s="166" t="e">
        <f t="shared" si="9"/>
        <v>#VALUE!</v>
      </c>
      <c r="Q156" s="72">
        <f t="shared" si="10"/>
        <v>0</v>
      </c>
      <c r="R156" s="72">
        <f t="shared" si="10"/>
        <v>0</v>
      </c>
      <c r="S156" s="72">
        <f t="shared" si="10"/>
        <v>0</v>
      </c>
      <c r="T156" s="72">
        <f t="shared" si="10"/>
        <v>0</v>
      </c>
      <c r="U156" s="72">
        <f t="shared" si="12"/>
        <v>1</v>
      </c>
      <c r="V156" s="72">
        <f t="shared" si="12"/>
        <v>0</v>
      </c>
      <c r="W156" s="72">
        <f t="shared" si="12"/>
        <v>0</v>
      </c>
      <c r="X156" s="72">
        <f t="shared" si="12"/>
        <v>0</v>
      </c>
    </row>
    <row r="157" spans="2:24" x14ac:dyDescent="0.2">
      <c r="B157" s="173" t="str">
        <f t="shared" si="6"/>
        <v>TV Básico Plus Negocio + 100 Megas Simetrico NegocioSTAR + Internet fijo</v>
      </c>
      <c r="C157" s="72">
        <f t="shared" si="11"/>
        <v>31</v>
      </c>
      <c r="D157" s="77" t="str">
        <f t="shared" si="4"/>
        <v>TV Básico Plus Negocio + 100 Megas Simetrico Negocio</v>
      </c>
      <c r="F157" s="86" t="str">
        <f>IFERROR(VLOOKUP($D157,Base!$B$7:$L$119,3,FALSE),"")</f>
        <v>STAR + Internet fijo</v>
      </c>
      <c r="G157" s="86" t="str">
        <f>IFERROR(VLOOKUP($D157,Base!$B$7:$L$119,2,FALSE),"")</f>
        <v>Negocio</v>
      </c>
      <c r="H157" s="86">
        <f t="shared" si="7"/>
        <v>153</v>
      </c>
      <c r="I157" s="108">
        <f>INDEX(vector.implicit.prices.STAR.before.discount,MATCH('Cálculos auxiliares'!D157,vector.plans.names,0))</f>
        <v>300.46869768999005</v>
      </c>
      <c r="J157" s="240"/>
      <c r="K157" s="195">
        <f t="shared" si="8"/>
        <v>0</v>
      </c>
      <c r="M157" s="166" t="e">
        <f t="shared" si="9"/>
        <v>#VALUE!</v>
      </c>
      <c r="Q157" s="72">
        <f t="shared" si="10"/>
        <v>0</v>
      </c>
      <c r="R157" s="72">
        <f t="shared" si="10"/>
        <v>0</v>
      </c>
      <c r="S157" s="72">
        <f t="shared" si="10"/>
        <v>0</v>
      </c>
      <c r="T157" s="72">
        <f t="shared" si="10"/>
        <v>0</v>
      </c>
      <c r="U157" s="72">
        <f t="shared" si="12"/>
        <v>1</v>
      </c>
      <c r="V157" s="72">
        <f t="shared" si="12"/>
        <v>0</v>
      </c>
      <c r="W157" s="72">
        <f t="shared" si="12"/>
        <v>0</v>
      </c>
      <c r="X157" s="72">
        <f t="shared" si="12"/>
        <v>0</v>
      </c>
    </row>
    <row r="158" spans="2:24" x14ac:dyDescent="0.2">
      <c r="B158" s="173" t="str">
        <f t="shared" si="6"/>
        <v>TV Básico Plus Negocio + 1000 Megas NegocioSTAR + Internet fijo</v>
      </c>
      <c r="C158" s="72">
        <f t="shared" si="11"/>
        <v>32</v>
      </c>
      <c r="D158" s="77" t="str">
        <f t="shared" si="4"/>
        <v>TV Básico Plus Negocio + 1000 Megas Negocio</v>
      </c>
      <c r="F158" s="86" t="str">
        <f>IFERROR(VLOOKUP($D158,Base!$B$7:$L$119,3,FALSE),"")</f>
        <v>STAR + Internet fijo</v>
      </c>
      <c r="G158" s="86" t="str">
        <f>IFERROR(VLOOKUP($D158,Base!$B$7:$L$119,2,FALSE),"")</f>
        <v>Negocio</v>
      </c>
      <c r="H158" s="86">
        <f t="shared" si="7"/>
        <v>153</v>
      </c>
      <c r="I158" s="108">
        <f>INDEX(vector.implicit.prices.STAR.before.discount,MATCH('Cálculos auxiliares'!D158,vector.plans.names,0))</f>
        <v>300.46869768999005</v>
      </c>
      <c r="J158" s="240"/>
      <c r="K158" s="195">
        <f t="shared" si="8"/>
        <v>56.872199999999999</v>
      </c>
      <c r="M158" s="166" t="e">
        <f t="shared" si="9"/>
        <v>#VALUE!</v>
      </c>
      <c r="Q158" s="72">
        <f t="shared" si="10"/>
        <v>0</v>
      </c>
      <c r="R158" s="72">
        <f t="shared" si="10"/>
        <v>0</v>
      </c>
      <c r="S158" s="72">
        <f t="shared" si="10"/>
        <v>0</v>
      </c>
      <c r="T158" s="72">
        <f t="shared" si="10"/>
        <v>0</v>
      </c>
      <c r="U158" s="72">
        <f t="shared" si="12"/>
        <v>1</v>
      </c>
      <c r="V158" s="72">
        <f t="shared" si="12"/>
        <v>0</v>
      </c>
      <c r="W158" s="72">
        <f t="shared" si="12"/>
        <v>0</v>
      </c>
      <c r="X158" s="72">
        <f t="shared" si="12"/>
        <v>0</v>
      </c>
    </row>
    <row r="159" spans="2:24" x14ac:dyDescent="0.2">
      <c r="B159" s="173" t="str">
        <f t="shared" si="6"/>
        <v>TV Básico Plus Negocio + 250 Megas NegocioSTAR + Internet fijo</v>
      </c>
      <c r="C159" s="72">
        <f t="shared" si="11"/>
        <v>33</v>
      </c>
      <c r="D159" s="77" t="str">
        <f t="shared" ref="D159:D190" si="13">D40</f>
        <v>TV Básico Plus Negocio + 250 Megas Negocio</v>
      </c>
      <c r="F159" s="86" t="str">
        <f>IFERROR(VLOOKUP($D159,Base!$B$7:$L$119,3,FALSE),"")</f>
        <v>STAR + Internet fijo</v>
      </c>
      <c r="G159" s="86" t="str">
        <f>IFERROR(VLOOKUP($D159,Base!$B$7:$L$119,2,FALSE),"")</f>
        <v>Negocio</v>
      </c>
      <c r="H159" s="86">
        <f t="shared" si="7"/>
        <v>153</v>
      </c>
      <c r="I159" s="108">
        <f>INDEX(vector.implicit.prices.STAR.before.discount,MATCH('Cálculos auxiliares'!D159,vector.plans.names,0))</f>
        <v>300.46869768999005</v>
      </c>
      <c r="J159" s="240"/>
      <c r="K159" s="195">
        <f t="shared" si="8"/>
        <v>227.4888</v>
      </c>
      <c r="M159" s="166" t="e">
        <f t="shared" si="9"/>
        <v>#VALUE!</v>
      </c>
      <c r="Q159" s="72">
        <f t="shared" si="10"/>
        <v>0</v>
      </c>
      <c r="R159" s="72">
        <f t="shared" si="10"/>
        <v>0</v>
      </c>
      <c r="S159" s="72">
        <f t="shared" si="10"/>
        <v>0</v>
      </c>
      <c r="T159" s="72">
        <f t="shared" si="10"/>
        <v>0</v>
      </c>
      <c r="U159" s="72">
        <f t="shared" si="12"/>
        <v>1</v>
      </c>
      <c r="V159" s="72">
        <f t="shared" si="12"/>
        <v>0</v>
      </c>
      <c r="W159" s="72">
        <f t="shared" si="12"/>
        <v>0</v>
      </c>
      <c r="X159" s="72">
        <f t="shared" si="12"/>
        <v>0</v>
      </c>
    </row>
    <row r="160" spans="2:24" x14ac:dyDescent="0.2">
      <c r="B160" s="173" t="str">
        <f t="shared" si="6"/>
        <v>TV Básico Plus Negocio + 250 Megas Simetrico NegocioSTAR + Internet fijo</v>
      </c>
      <c r="C160" s="72">
        <f t="shared" si="11"/>
        <v>34</v>
      </c>
      <c r="D160" s="77" t="str">
        <f t="shared" si="13"/>
        <v>TV Básico Plus Negocio + 250 Megas Simetrico Negocio</v>
      </c>
      <c r="F160" s="86" t="str">
        <f>IFERROR(VLOOKUP($D160,Base!$B$7:$L$119,3,FALSE),"")</f>
        <v>STAR + Internet fijo</v>
      </c>
      <c r="G160" s="86" t="str">
        <f>IFERROR(VLOOKUP($D160,Base!$B$7:$L$119,2,FALSE),"")</f>
        <v>Negocio</v>
      </c>
      <c r="H160" s="86">
        <f t="shared" si="7"/>
        <v>153</v>
      </c>
      <c r="I160" s="108">
        <f>INDEX(vector.implicit.prices.STAR.before.discount,MATCH('Cálculos auxiliares'!D160,vector.plans.names,0))</f>
        <v>300.46869768999005</v>
      </c>
      <c r="J160" s="240"/>
      <c r="K160" s="195">
        <f t="shared" si="8"/>
        <v>0</v>
      </c>
      <c r="M160" s="166" t="e">
        <f t="shared" si="9"/>
        <v>#VALUE!</v>
      </c>
      <c r="Q160" s="72">
        <f t="shared" si="10"/>
        <v>0</v>
      </c>
      <c r="R160" s="72">
        <f t="shared" si="10"/>
        <v>0</v>
      </c>
      <c r="S160" s="72">
        <f t="shared" si="10"/>
        <v>0</v>
      </c>
      <c r="T160" s="72">
        <f t="shared" si="10"/>
        <v>0</v>
      </c>
      <c r="U160" s="72">
        <f t="shared" si="12"/>
        <v>1</v>
      </c>
      <c r="V160" s="72">
        <f t="shared" si="12"/>
        <v>0</v>
      </c>
      <c r="W160" s="72">
        <f t="shared" si="12"/>
        <v>0</v>
      </c>
      <c r="X160" s="72">
        <f t="shared" si="12"/>
        <v>0</v>
      </c>
    </row>
    <row r="161" spans="2:24" x14ac:dyDescent="0.2">
      <c r="B161" s="173" t="str">
        <f t="shared" si="6"/>
        <v>TV Básico Plus Negocio + 500 Megas NegocioSTAR + Internet fijo</v>
      </c>
      <c r="C161" s="72">
        <f t="shared" si="11"/>
        <v>35</v>
      </c>
      <c r="D161" s="77" t="str">
        <f t="shared" si="13"/>
        <v>TV Básico Plus Negocio + 500 Megas Negocio</v>
      </c>
      <c r="F161" s="86" t="str">
        <f>IFERROR(VLOOKUP($D161,Base!$B$7:$L$119,3,FALSE),"")</f>
        <v>STAR + Internet fijo</v>
      </c>
      <c r="G161" s="86" t="str">
        <f>IFERROR(VLOOKUP($D161,Base!$B$7:$L$119,2,FALSE),"")</f>
        <v>Negocio</v>
      </c>
      <c r="H161" s="86">
        <f t="shared" si="7"/>
        <v>153</v>
      </c>
      <c r="I161" s="108">
        <f>INDEX(vector.implicit.prices.STAR.before.discount,MATCH('Cálculos auxiliares'!D161,vector.plans.names,0))</f>
        <v>300.46869768999005</v>
      </c>
      <c r="J161" s="240"/>
      <c r="K161" s="195">
        <f t="shared" si="8"/>
        <v>56.872199999999999</v>
      </c>
      <c r="M161" s="166" t="e">
        <f t="shared" si="9"/>
        <v>#VALUE!</v>
      </c>
      <c r="Q161" s="72">
        <f t="shared" si="10"/>
        <v>0</v>
      </c>
      <c r="R161" s="72">
        <f t="shared" si="10"/>
        <v>0</v>
      </c>
      <c r="S161" s="72">
        <f t="shared" si="10"/>
        <v>0</v>
      </c>
      <c r="T161" s="72">
        <f t="shared" si="10"/>
        <v>0</v>
      </c>
      <c r="U161" s="72">
        <f t="shared" si="12"/>
        <v>1</v>
      </c>
      <c r="V161" s="72">
        <f t="shared" si="12"/>
        <v>0</v>
      </c>
      <c r="W161" s="72">
        <f t="shared" si="12"/>
        <v>0</v>
      </c>
      <c r="X161" s="72">
        <f t="shared" si="12"/>
        <v>0</v>
      </c>
    </row>
    <row r="162" spans="2:24" x14ac:dyDescent="0.2">
      <c r="B162" s="173" t="str">
        <f t="shared" si="6"/>
        <v>TV Básico Plus Negocio + 500 Megas Simetrico NegocioSTAR + Internet fijo</v>
      </c>
      <c r="C162" s="72">
        <f t="shared" si="11"/>
        <v>36</v>
      </c>
      <c r="D162" s="77" t="str">
        <f t="shared" si="13"/>
        <v>TV Básico Plus Negocio + 500 Megas Simetrico Negocio</v>
      </c>
      <c r="F162" s="86" t="str">
        <f>IFERROR(VLOOKUP($D162,Base!$B$7:$L$119,3,FALSE),"")</f>
        <v>STAR + Internet fijo</v>
      </c>
      <c r="G162" s="86" t="str">
        <f>IFERROR(VLOOKUP($D162,Base!$B$7:$L$119,2,FALSE),"")</f>
        <v>Negocio</v>
      </c>
      <c r="H162" s="86">
        <f t="shared" si="7"/>
        <v>153</v>
      </c>
      <c r="I162" s="108">
        <f>INDEX(vector.implicit.prices.STAR.before.discount,MATCH('Cálculos auxiliares'!D162,vector.plans.names,0))</f>
        <v>300.46869768999005</v>
      </c>
      <c r="J162" s="240"/>
      <c r="K162" s="195">
        <f t="shared" si="8"/>
        <v>0</v>
      </c>
      <c r="M162" s="166" t="e">
        <f t="shared" si="9"/>
        <v>#VALUE!</v>
      </c>
      <c r="Q162" s="72">
        <f t="shared" si="10"/>
        <v>0</v>
      </c>
      <c r="R162" s="72">
        <f t="shared" si="10"/>
        <v>0</v>
      </c>
      <c r="S162" s="72">
        <f t="shared" si="10"/>
        <v>0</v>
      </c>
      <c r="T162" s="72">
        <f t="shared" si="10"/>
        <v>0</v>
      </c>
      <c r="U162" s="72">
        <f t="shared" si="12"/>
        <v>1</v>
      </c>
      <c r="V162" s="72">
        <f t="shared" si="12"/>
        <v>0</v>
      </c>
      <c r="W162" s="72">
        <f t="shared" si="12"/>
        <v>0</v>
      </c>
      <c r="X162" s="72">
        <f t="shared" si="12"/>
        <v>0</v>
      </c>
    </row>
    <row r="163" spans="2:24" x14ac:dyDescent="0.2">
      <c r="B163" s="173" t="str">
        <f t="shared" si="6"/>
        <v>TV Básico Plus Negocio + 60 Megas NegocioSTAR + Internet fijo</v>
      </c>
      <c r="C163" s="72">
        <f t="shared" si="11"/>
        <v>37</v>
      </c>
      <c r="D163" s="77" t="str">
        <f t="shared" si="13"/>
        <v>TV Básico Plus Negocio + 60 Megas Negocio</v>
      </c>
      <c r="F163" s="86" t="str">
        <f>IFERROR(VLOOKUP($D163,Base!$B$7:$L$119,3,FALSE),"")</f>
        <v>STAR + Internet fijo</v>
      </c>
      <c r="G163" s="86" t="str">
        <f>IFERROR(VLOOKUP($D163,Base!$B$7:$L$119,2,FALSE),"")</f>
        <v>Negocio</v>
      </c>
      <c r="H163" s="86">
        <f t="shared" si="7"/>
        <v>153</v>
      </c>
      <c r="I163" s="108">
        <f>INDEX(vector.implicit.prices.STAR.before.discount,MATCH('Cálculos auxiliares'!D163,vector.plans.names,0))</f>
        <v>300.46869768999005</v>
      </c>
      <c r="J163" s="240"/>
      <c r="K163" s="195">
        <f t="shared" si="8"/>
        <v>398.10539999999997</v>
      </c>
      <c r="M163" s="166" t="e">
        <f t="shared" si="9"/>
        <v>#VALUE!</v>
      </c>
      <c r="Q163" s="72">
        <f t="shared" si="10"/>
        <v>0</v>
      </c>
      <c r="R163" s="72">
        <f t="shared" si="10"/>
        <v>0</v>
      </c>
      <c r="S163" s="72">
        <f t="shared" si="10"/>
        <v>0</v>
      </c>
      <c r="T163" s="72">
        <f t="shared" si="10"/>
        <v>0</v>
      </c>
      <c r="U163" s="72">
        <f t="shared" si="12"/>
        <v>1</v>
      </c>
      <c r="V163" s="72">
        <f t="shared" si="12"/>
        <v>0</v>
      </c>
      <c r="W163" s="72">
        <f t="shared" si="12"/>
        <v>0</v>
      </c>
      <c r="X163" s="72">
        <f t="shared" si="12"/>
        <v>0</v>
      </c>
    </row>
    <row r="164" spans="2:24" x14ac:dyDescent="0.2">
      <c r="B164" s="173" t="str">
        <f t="shared" si="6"/>
        <v>TV Básico Plus Negocio + 60 Megas Simetrico NegocioSTAR + Internet fijo</v>
      </c>
      <c r="C164" s="72">
        <f t="shared" si="11"/>
        <v>38</v>
      </c>
      <c r="D164" s="77" t="str">
        <f t="shared" si="13"/>
        <v>TV Básico Plus Negocio + 60 Megas Simetrico Negocio</v>
      </c>
      <c r="F164" s="86" t="str">
        <f>IFERROR(VLOOKUP($D164,Base!$B$7:$L$119,3,FALSE),"")</f>
        <v>STAR + Internet fijo</v>
      </c>
      <c r="G164" s="86" t="str">
        <f>IFERROR(VLOOKUP($D164,Base!$B$7:$L$119,2,FALSE),"")</f>
        <v>Negocio</v>
      </c>
      <c r="H164" s="86">
        <f t="shared" si="7"/>
        <v>153</v>
      </c>
      <c r="I164" s="108">
        <f>INDEX(vector.implicit.prices.STAR.before.discount,MATCH('Cálculos auxiliares'!D164,vector.plans.names,0))</f>
        <v>300.46869768999005</v>
      </c>
      <c r="J164" s="240"/>
      <c r="K164" s="195">
        <f t="shared" si="8"/>
        <v>0</v>
      </c>
      <c r="M164" s="166" t="e">
        <f t="shared" si="9"/>
        <v>#VALUE!</v>
      </c>
      <c r="Q164" s="72">
        <f t="shared" si="10"/>
        <v>0</v>
      </c>
      <c r="R164" s="72">
        <f t="shared" si="10"/>
        <v>0</v>
      </c>
      <c r="S164" s="72">
        <f t="shared" si="10"/>
        <v>0</v>
      </c>
      <c r="T164" s="72">
        <f t="shared" si="10"/>
        <v>0</v>
      </c>
      <c r="U164" s="72">
        <f t="shared" si="12"/>
        <v>1</v>
      </c>
      <c r="V164" s="72">
        <f t="shared" si="12"/>
        <v>0</v>
      </c>
      <c r="W164" s="72">
        <f t="shared" si="12"/>
        <v>0</v>
      </c>
      <c r="X164" s="72">
        <f t="shared" si="12"/>
        <v>0</v>
      </c>
    </row>
    <row r="165" spans="2:24" x14ac:dyDescent="0.2">
      <c r="B165" s="173" t="str">
        <f t="shared" si="6"/>
        <v>TV Básico Plus Xview+ + Telefonía + 100 MegasSTAR + Internet fijo + Telefonía fija</v>
      </c>
      <c r="C165" s="72">
        <f t="shared" si="11"/>
        <v>39</v>
      </c>
      <c r="D165" s="77" t="str">
        <f t="shared" si="13"/>
        <v>TV Básico Plus Xview+ + Telefonía + 100 Megas</v>
      </c>
      <c r="F165" s="86" t="str">
        <f>IFERROR(VLOOKUP($D165,Base!$B$7:$L$119,3,FALSE),"")</f>
        <v>STAR + Internet fijo + Telefonía fija</v>
      </c>
      <c r="G165" s="86" t="str">
        <f>IFERROR(VLOOKUP($D165,Base!$B$7:$L$119,2,FALSE),"")</f>
        <v>Residencial</v>
      </c>
      <c r="H165" s="86">
        <f t="shared" si="7"/>
        <v>219</v>
      </c>
      <c r="I165" s="108">
        <f>INDEX(vector.implicit.prices.STAR.before.discount,MATCH('Cálculos auxiliares'!D165,vector.plans.names,0))</f>
        <v>343.7719840137359</v>
      </c>
      <c r="J165" s="240"/>
      <c r="K165" s="195">
        <f t="shared" si="8"/>
        <v>12113.7786</v>
      </c>
      <c r="M165" s="166" t="e">
        <f t="shared" si="9"/>
        <v>#VALUE!</v>
      </c>
      <c r="Q165" s="72">
        <f t="shared" si="10"/>
        <v>0</v>
      </c>
      <c r="R165" s="72">
        <f t="shared" si="10"/>
        <v>0</v>
      </c>
      <c r="S165" s="72">
        <f t="shared" si="10"/>
        <v>0</v>
      </c>
      <c r="T165" s="72">
        <f t="shared" si="10"/>
        <v>0</v>
      </c>
      <c r="U165" s="72">
        <f t="shared" si="12"/>
        <v>0</v>
      </c>
      <c r="V165" s="72">
        <f t="shared" si="12"/>
        <v>0</v>
      </c>
      <c r="W165" s="72">
        <f t="shared" si="12"/>
        <v>1</v>
      </c>
      <c r="X165" s="72">
        <f t="shared" si="12"/>
        <v>0</v>
      </c>
    </row>
    <row r="166" spans="2:24" x14ac:dyDescent="0.2">
      <c r="B166" s="173" t="str">
        <f t="shared" si="6"/>
        <v>TV Básico Plus Xview+ + Telefonía + 100 Megas SimetricoSTAR + Internet fijo + Telefonía fija</v>
      </c>
      <c r="C166" s="72">
        <f t="shared" si="11"/>
        <v>40</v>
      </c>
      <c r="D166" s="77" t="str">
        <f t="shared" si="13"/>
        <v>TV Básico Plus Xview+ + Telefonía + 100 Megas Simetrico</v>
      </c>
      <c r="F166" s="86" t="str">
        <f>IFERROR(VLOOKUP($D166,Base!$B$7:$L$119,3,FALSE),"")</f>
        <v>STAR + Internet fijo + Telefonía fija</v>
      </c>
      <c r="G166" s="86" t="str">
        <f>IFERROR(VLOOKUP($D166,Base!$B$7:$L$119,2,FALSE),"")</f>
        <v>Residencial</v>
      </c>
      <c r="H166" s="86">
        <f t="shared" si="7"/>
        <v>218</v>
      </c>
      <c r="I166" s="108">
        <f>INDEX(vector.implicit.prices.STAR.before.discount,MATCH('Cálculos auxiliares'!D166,vector.plans.names,0))</f>
        <v>343.18184602486792</v>
      </c>
      <c r="J166" s="240"/>
      <c r="K166" s="195">
        <f t="shared" si="8"/>
        <v>56.872199999999999</v>
      </c>
      <c r="M166" s="166" t="e">
        <f t="shared" si="9"/>
        <v>#VALUE!</v>
      </c>
      <c r="Q166" s="72">
        <f t="shared" si="10"/>
        <v>0</v>
      </c>
      <c r="R166" s="72">
        <f t="shared" si="10"/>
        <v>0</v>
      </c>
      <c r="S166" s="72">
        <f t="shared" si="10"/>
        <v>0</v>
      </c>
      <c r="T166" s="72">
        <f t="shared" si="10"/>
        <v>0</v>
      </c>
      <c r="U166" s="72">
        <f t="shared" si="12"/>
        <v>0</v>
      </c>
      <c r="V166" s="72">
        <f t="shared" si="12"/>
        <v>1</v>
      </c>
      <c r="W166" s="72">
        <f t="shared" si="12"/>
        <v>0</v>
      </c>
      <c r="X166" s="72">
        <f t="shared" si="12"/>
        <v>0</v>
      </c>
    </row>
    <row r="167" spans="2:24" x14ac:dyDescent="0.2">
      <c r="B167" s="173" t="str">
        <f t="shared" si="6"/>
        <v>TV Básico Plus Xview+ + Telefonía + 1000 MegasSTAR + Internet fijo + Telefonía fija</v>
      </c>
      <c r="C167" s="72">
        <f t="shared" si="11"/>
        <v>41</v>
      </c>
      <c r="D167" s="77" t="str">
        <f t="shared" si="13"/>
        <v>TV Básico Plus Xview+ + Telefonía + 1000 Megas</v>
      </c>
      <c r="F167" s="86" t="str">
        <f>IFERROR(VLOOKUP($D167,Base!$B$7:$L$119,3,FALSE),"")</f>
        <v>STAR + Internet fijo + Telefonía fija</v>
      </c>
      <c r="G167" s="86" t="str">
        <f>IFERROR(VLOOKUP($D167,Base!$B$7:$L$119,2,FALSE),"")</f>
        <v>Residencial</v>
      </c>
      <c r="H167" s="86">
        <f t="shared" si="7"/>
        <v>218</v>
      </c>
      <c r="I167" s="108">
        <f>INDEX(vector.implicit.prices.STAR.before.discount,MATCH('Cálculos auxiliares'!D167,vector.plans.names,0))</f>
        <v>343.18184602486792</v>
      </c>
      <c r="J167" s="240"/>
      <c r="K167" s="195">
        <f t="shared" si="8"/>
        <v>5630.3478000000005</v>
      </c>
      <c r="M167" s="166" t="e">
        <f t="shared" si="9"/>
        <v>#VALUE!</v>
      </c>
      <c r="Q167" s="72">
        <f t="shared" si="10"/>
        <v>0</v>
      </c>
      <c r="R167" s="72">
        <f t="shared" si="10"/>
        <v>0</v>
      </c>
      <c r="S167" s="72">
        <f t="shared" si="10"/>
        <v>0</v>
      </c>
      <c r="T167" s="72">
        <f t="shared" si="10"/>
        <v>0</v>
      </c>
      <c r="U167" s="72">
        <f t="shared" si="12"/>
        <v>0</v>
      </c>
      <c r="V167" s="72">
        <f t="shared" si="12"/>
        <v>1</v>
      </c>
      <c r="W167" s="72">
        <f t="shared" si="12"/>
        <v>0</v>
      </c>
      <c r="X167" s="72">
        <f t="shared" si="12"/>
        <v>0</v>
      </c>
    </row>
    <row r="168" spans="2:24" x14ac:dyDescent="0.2">
      <c r="B168" s="173" t="str">
        <f t="shared" si="6"/>
        <v>TV Básico Plus Xview+ + Telefonía + 250 MegasSTAR + Internet fijo + Telefonía fija</v>
      </c>
      <c r="C168" s="72">
        <f t="shared" si="11"/>
        <v>42</v>
      </c>
      <c r="D168" s="77" t="str">
        <f t="shared" si="13"/>
        <v>TV Básico Plus Xview+ + Telefonía + 250 Megas</v>
      </c>
      <c r="F168" s="86" t="str">
        <f>IFERROR(VLOOKUP($D168,Base!$B$7:$L$119,3,FALSE),"")</f>
        <v>STAR + Internet fijo + Telefonía fija</v>
      </c>
      <c r="G168" s="86" t="str">
        <f>IFERROR(VLOOKUP($D168,Base!$B$7:$L$119,2,FALSE),"")</f>
        <v>Residencial</v>
      </c>
      <c r="H168" s="86">
        <f t="shared" si="7"/>
        <v>218</v>
      </c>
      <c r="I168" s="108">
        <f>INDEX(vector.implicit.prices.STAR.before.discount,MATCH('Cálculos auxiliares'!D168,vector.plans.names,0))</f>
        <v>343.18184602486792</v>
      </c>
      <c r="J168" s="240"/>
      <c r="K168" s="195">
        <f t="shared" si="8"/>
        <v>31620.943199999998</v>
      </c>
      <c r="M168" s="166" t="e">
        <f t="shared" si="9"/>
        <v>#VALUE!</v>
      </c>
      <c r="Q168" s="72">
        <f t="shared" si="10"/>
        <v>0</v>
      </c>
      <c r="R168" s="72">
        <f t="shared" si="10"/>
        <v>0</v>
      </c>
      <c r="S168" s="72">
        <f t="shared" si="10"/>
        <v>0</v>
      </c>
      <c r="T168" s="72">
        <f t="shared" si="10"/>
        <v>0</v>
      </c>
      <c r="U168" s="72">
        <f t="shared" si="12"/>
        <v>0</v>
      </c>
      <c r="V168" s="72">
        <f t="shared" si="12"/>
        <v>1</v>
      </c>
      <c r="W168" s="72">
        <f t="shared" si="12"/>
        <v>0</v>
      </c>
      <c r="X168" s="72">
        <f t="shared" si="12"/>
        <v>0</v>
      </c>
    </row>
    <row r="169" spans="2:24" x14ac:dyDescent="0.2">
      <c r="B169" s="173" t="str">
        <f t="shared" si="6"/>
        <v>TV Básico Plus Xview+ + Telefonía + 250 Megas SimetricoSTAR + Internet fijo + Telefonía fija</v>
      </c>
      <c r="C169" s="72">
        <f t="shared" si="11"/>
        <v>43</v>
      </c>
      <c r="D169" s="77" t="str">
        <f t="shared" si="13"/>
        <v>TV Básico Plus Xview+ + Telefonía + 250 Megas Simetrico</v>
      </c>
      <c r="F169" s="86" t="str">
        <f>IFERROR(VLOOKUP($D169,Base!$B$7:$L$119,3,FALSE),"")</f>
        <v>STAR + Internet fijo + Telefonía fija</v>
      </c>
      <c r="G169" s="86" t="str">
        <f>IFERROR(VLOOKUP($D169,Base!$B$7:$L$119,2,FALSE),"")</f>
        <v>Residencial</v>
      </c>
      <c r="H169" s="86">
        <f t="shared" si="7"/>
        <v>218</v>
      </c>
      <c r="I169" s="108">
        <f>INDEX(vector.implicit.prices.STAR.before.discount,MATCH('Cálculos auxiliares'!D169,vector.plans.names,0))</f>
        <v>343.18184602486792</v>
      </c>
      <c r="J169" s="240"/>
      <c r="K169" s="195">
        <f t="shared" si="8"/>
        <v>56.872199999999999</v>
      </c>
      <c r="M169" s="166" t="e">
        <f t="shared" si="9"/>
        <v>#VALUE!</v>
      </c>
      <c r="Q169" s="72">
        <f t="shared" si="10"/>
        <v>0</v>
      </c>
      <c r="R169" s="72">
        <f t="shared" si="10"/>
        <v>0</v>
      </c>
      <c r="S169" s="72">
        <f t="shared" si="10"/>
        <v>0</v>
      </c>
      <c r="T169" s="72">
        <f t="shared" si="10"/>
        <v>0</v>
      </c>
      <c r="U169" s="72">
        <f t="shared" si="12"/>
        <v>0</v>
      </c>
      <c r="V169" s="72">
        <f t="shared" si="12"/>
        <v>1</v>
      </c>
      <c r="W169" s="72">
        <f t="shared" si="12"/>
        <v>0</v>
      </c>
      <c r="X169" s="72">
        <f t="shared" si="12"/>
        <v>0</v>
      </c>
    </row>
    <row r="170" spans="2:24" x14ac:dyDescent="0.2">
      <c r="B170" s="173" t="str">
        <f t="shared" si="6"/>
        <v>TV Básico Plus Xview+ + Telefonía + 500 MegasSTAR + Internet fijo + Telefonía fija</v>
      </c>
      <c r="C170" s="72">
        <f t="shared" si="11"/>
        <v>44</v>
      </c>
      <c r="D170" s="77" t="str">
        <f t="shared" si="13"/>
        <v>TV Básico Plus Xview+ + Telefonía + 500 Megas</v>
      </c>
      <c r="F170" s="86" t="str">
        <f>IFERROR(VLOOKUP($D170,Base!$B$7:$L$119,3,FALSE),"")</f>
        <v>STAR + Internet fijo + Telefonía fija</v>
      </c>
      <c r="G170" s="86" t="str">
        <f>IFERROR(VLOOKUP($D170,Base!$B$7:$L$119,2,FALSE),"")</f>
        <v>Residencial</v>
      </c>
      <c r="H170" s="86">
        <f t="shared" si="7"/>
        <v>218</v>
      </c>
      <c r="I170" s="108">
        <f>INDEX(vector.implicit.prices.STAR.before.discount,MATCH('Cálculos auxiliares'!D170,vector.plans.names,0))</f>
        <v>343.18184602486792</v>
      </c>
      <c r="J170" s="240"/>
      <c r="K170" s="195">
        <f t="shared" si="8"/>
        <v>6938.4084000000003</v>
      </c>
      <c r="M170" s="166" t="e">
        <f t="shared" si="9"/>
        <v>#VALUE!</v>
      </c>
      <c r="Q170" s="72">
        <f t="shared" si="10"/>
        <v>0</v>
      </c>
      <c r="R170" s="72">
        <f t="shared" si="10"/>
        <v>0</v>
      </c>
      <c r="S170" s="72">
        <f t="shared" si="10"/>
        <v>0</v>
      </c>
      <c r="T170" s="72">
        <f t="shared" si="10"/>
        <v>0</v>
      </c>
      <c r="U170" s="72">
        <f t="shared" si="12"/>
        <v>0</v>
      </c>
      <c r="V170" s="72">
        <f t="shared" si="12"/>
        <v>1</v>
      </c>
      <c r="W170" s="72">
        <f t="shared" si="12"/>
        <v>0</v>
      </c>
      <c r="X170" s="72">
        <f t="shared" si="12"/>
        <v>0</v>
      </c>
    </row>
    <row r="171" spans="2:24" x14ac:dyDescent="0.2">
      <c r="B171" s="173" t="str">
        <f t="shared" si="6"/>
        <v>TV Básico Plus Xview+ + Telefonía + 500 Megas SimetricoSTAR + Internet fijo + Telefonía fija</v>
      </c>
      <c r="C171" s="72">
        <f t="shared" si="11"/>
        <v>45</v>
      </c>
      <c r="D171" s="77" t="str">
        <f t="shared" si="13"/>
        <v>TV Básico Plus Xview+ + Telefonía + 500 Megas Simetrico</v>
      </c>
      <c r="F171" s="86" t="str">
        <f>IFERROR(VLOOKUP($D171,Base!$B$7:$L$119,3,FALSE),"")</f>
        <v>STAR + Internet fijo + Telefonía fija</v>
      </c>
      <c r="G171" s="86" t="str">
        <f>IFERROR(VLOOKUP($D171,Base!$B$7:$L$119,2,FALSE),"")</f>
        <v>Residencial</v>
      </c>
      <c r="H171" s="86">
        <f t="shared" si="7"/>
        <v>218</v>
      </c>
      <c r="I171" s="108">
        <f>INDEX(vector.implicit.prices.STAR.before.discount,MATCH('Cálculos auxiliares'!D171,vector.plans.names,0))</f>
        <v>343.18184602486792</v>
      </c>
      <c r="J171" s="240"/>
      <c r="K171" s="195">
        <f t="shared" si="8"/>
        <v>56.872199999999999</v>
      </c>
      <c r="M171" s="166" t="e">
        <f t="shared" si="9"/>
        <v>#VALUE!</v>
      </c>
      <c r="Q171" s="72">
        <f t="shared" si="10"/>
        <v>0</v>
      </c>
      <c r="R171" s="72">
        <f t="shared" si="10"/>
        <v>0</v>
      </c>
      <c r="S171" s="72">
        <f t="shared" si="10"/>
        <v>0</v>
      </c>
      <c r="T171" s="72">
        <f t="shared" si="10"/>
        <v>0</v>
      </c>
      <c r="U171" s="72">
        <f t="shared" si="12"/>
        <v>0</v>
      </c>
      <c r="V171" s="72">
        <f t="shared" si="12"/>
        <v>1</v>
      </c>
      <c r="W171" s="72">
        <f t="shared" si="12"/>
        <v>0</v>
      </c>
      <c r="X171" s="72">
        <f t="shared" si="12"/>
        <v>0</v>
      </c>
    </row>
    <row r="172" spans="2:24" x14ac:dyDescent="0.2">
      <c r="B172" s="173" t="str">
        <f t="shared" si="6"/>
        <v>TV Básico Plus Xview+ + Telefonía + 60 MegasSTAR + Internet fijo + Telefonía fija</v>
      </c>
      <c r="C172" s="72">
        <f t="shared" si="11"/>
        <v>46</v>
      </c>
      <c r="D172" s="77" t="str">
        <f t="shared" si="13"/>
        <v>TV Básico Plus Xview+ + Telefonía + 60 Megas</v>
      </c>
      <c r="F172" s="86" t="str">
        <f>IFERROR(VLOOKUP($D172,Base!$B$7:$L$119,3,FALSE),"")</f>
        <v>STAR + Internet fijo + Telefonía fija</v>
      </c>
      <c r="G172" s="86" t="str">
        <f>IFERROR(VLOOKUP($D172,Base!$B$7:$L$119,2,FALSE),"")</f>
        <v>Residencial</v>
      </c>
      <c r="H172" s="86">
        <f t="shared" si="7"/>
        <v>218</v>
      </c>
      <c r="I172" s="108">
        <f>INDEX(vector.implicit.prices.STAR.before.discount,MATCH('Cálculos auxiliares'!D172,vector.plans.names,0))</f>
        <v>343.18184602486792</v>
      </c>
      <c r="J172" s="240"/>
      <c r="K172" s="195">
        <f t="shared" si="8"/>
        <v>36113.847000000002</v>
      </c>
      <c r="M172" s="166" t="e">
        <f t="shared" si="9"/>
        <v>#VALUE!</v>
      </c>
      <c r="Q172" s="72">
        <f t="shared" si="10"/>
        <v>0</v>
      </c>
      <c r="R172" s="72">
        <f t="shared" si="10"/>
        <v>0</v>
      </c>
      <c r="S172" s="72">
        <f t="shared" si="10"/>
        <v>0</v>
      </c>
      <c r="T172" s="72">
        <f t="shared" si="10"/>
        <v>0</v>
      </c>
      <c r="U172" s="72">
        <f t="shared" si="12"/>
        <v>0</v>
      </c>
      <c r="V172" s="72">
        <f t="shared" si="12"/>
        <v>1</v>
      </c>
      <c r="W172" s="72">
        <f t="shared" si="12"/>
        <v>0</v>
      </c>
      <c r="X172" s="72">
        <f t="shared" si="12"/>
        <v>0</v>
      </c>
    </row>
    <row r="173" spans="2:24" x14ac:dyDescent="0.2">
      <c r="B173" s="173" t="str">
        <f t="shared" si="6"/>
        <v>TV Básico Plus Xview+ + Telefonía + 60 Megas SimetricoSTAR + Internet fijo + Telefonía fija</v>
      </c>
      <c r="C173" s="72">
        <f t="shared" si="11"/>
        <v>47</v>
      </c>
      <c r="D173" s="77" t="str">
        <f t="shared" si="13"/>
        <v>TV Básico Plus Xview+ + Telefonía + 60 Megas Simetrico</v>
      </c>
      <c r="F173" s="86" t="str">
        <f>IFERROR(VLOOKUP($D173,Base!$B$7:$L$119,3,FALSE),"")</f>
        <v>STAR + Internet fijo + Telefonía fija</v>
      </c>
      <c r="G173" s="86" t="str">
        <f>IFERROR(VLOOKUP($D173,Base!$B$7:$L$119,2,FALSE),"")</f>
        <v>Residencial</v>
      </c>
      <c r="H173" s="86">
        <f t="shared" si="7"/>
        <v>218</v>
      </c>
      <c r="I173" s="108">
        <f>INDEX(vector.implicit.prices.STAR.before.discount,MATCH('Cálculos auxiliares'!D173,vector.plans.names,0))</f>
        <v>343.18184602486792</v>
      </c>
      <c r="J173" s="240"/>
      <c r="K173" s="195">
        <f t="shared" si="8"/>
        <v>56.872199999999999</v>
      </c>
      <c r="M173" s="166" t="e">
        <f t="shared" si="9"/>
        <v>#VALUE!</v>
      </c>
      <c r="Q173" s="72">
        <f t="shared" si="10"/>
        <v>0</v>
      </c>
      <c r="R173" s="72">
        <f t="shared" si="10"/>
        <v>0</v>
      </c>
      <c r="S173" s="72">
        <f t="shared" si="10"/>
        <v>0</v>
      </c>
      <c r="T173" s="72">
        <f t="shared" si="10"/>
        <v>0</v>
      </c>
      <c r="U173" s="72">
        <f t="shared" si="12"/>
        <v>0</v>
      </c>
      <c r="V173" s="72">
        <f t="shared" si="12"/>
        <v>1</v>
      </c>
      <c r="W173" s="72">
        <f t="shared" si="12"/>
        <v>0</v>
      </c>
      <c r="X173" s="72">
        <f t="shared" si="12"/>
        <v>0</v>
      </c>
    </row>
    <row r="174" spans="2:24" x14ac:dyDescent="0.2">
      <c r="B174" s="173" t="str">
        <f t="shared" si="6"/>
        <v>TV Básico Plus Xview+ Negocio + Telefonía Negocio + 100 Megas NegocioSTAR + Internet fijo + Telefonía fija</v>
      </c>
      <c r="C174" s="72">
        <f t="shared" si="11"/>
        <v>48</v>
      </c>
      <c r="D174" s="77" t="str">
        <f t="shared" si="13"/>
        <v>TV Básico Plus Xview+ Negocio + Telefonía Negocio + 100 Megas Negocio</v>
      </c>
      <c r="F174" s="86" t="str">
        <f>IFERROR(VLOOKUP($D174,Base!$B$7:$L$119,3,FALSE),"")</f>
        <v>STAR + Internet fijo + Telefonía fija</v>
      </c>
      <c r="G174" s="86" t="str">
        <f>IFERROR(VLOOKUP($D174,Base!$B$7:$L$119,2,FALSE),"")</f>
        <v>Negocio</v>
      </c>
      <c r="H174" s="86">
        <f t="shared" si="7"/>
        <v>218</v>
      </c>
      <c r="I174" s="108">
        <f>INDEX(vector.implicit.prices.STAR.before.discount,MATCH('Cálculos auxiliares'!D174,vector.plans.names,0))</f>
        <v>343.18184602486792</v>
      </c>
      <c r="J174" s="240"/>
      <c r="K174" s="195">
        <f t="shared" si="8"/>
        <v>1080.5717999999999</v>
      </c>
      <c r="M174" s="166" t="e">
        <f t="shared" si="9"/>
        <v>#VALUE!</v>
      </c>
      <c r="Q174" s="72">
        <f t="shared" si="10"/>
        <v>0</v>
      </c>
      <c r="R174" s="72">
        <f t="shared" si="10"/>
        <v>0</v>
      </c>
      <c r="S174" s="72">
        <f t="shared" si="10"/>
        <v>0</v>
      </c>
      <c r="T174" s="72">
        <f t="shared" si="10"/>
        <v>0</v>
      </c>
      <c r="U174" s="72">
        <f t="shared" si="12"/>
        <v>0</v>
      </c>
      <c r="V174" s="72">
        <f t="shared" si="12"/>
        <v>1</v>
      </c>
      <c r="W174" s="72">
        <f t="shared" si="12"/>
        <v>0</v>
      </c>
      <c r="X174" s="72">
        <f t="shared" si="12"/>
        <v>0</v>
      </c>
    </row>
    <row r="175" spans="2:24" x14ac:dyDescent="0.2">
      <c r="B175" s="173" t="str">
        <f t="shared" si="6"/>
        <v>TV Básico Plus Xview+ Negocio + Telefonía Negocio + 100 Megas Simetrico NegocioSTAR + Internet fijo + Telefonía fija</v>
      </c>
      <c r="C175" s="72">
        <f t="shared" si="11"/>
        <v>49</v>
      </c>
      <c r="D175" s="77" t="str">
        <f t="shared" si="13"/>
        <v>TV Básico Plus Xview+ Negocio + Telefonía Negocio + 100 Megas Simetrico Negocio</v>
      </c>
      <c r="F175" s="86" t="str">
        <f>IFERROR(VLOOKUP($D175,Base!$B$7:$L$119,3,FALSE),"")</f>
        <v>STAR + Internet fijo + Telefonía fija</v>
      </c>
      <c r="G175" s="86" t="str">
        <f>IFERROR(VLOOKUP($D175,Base!$B$7:$L$119,2,FALSE),"")</f>
        <v>Negocio</v>
      </c>
      <c r="H175" s="86">
        <f t="shared" si="7"/>
        <v>218</v>
      </c>
      <c r="I175" s="108">
        <f>INDEX(vector.implicit.prices.STAR.before.discount,MATCH('Cálculos auxiliares'!D175,vector.plans.names,0))</f>
        <v>343.18184602486792</v>
      </c>
      <c r="J175" s="240"/>
      <c r="K175" s="195">
        <f t="shared" si="8"/>
        <v>56.872199999999999</v>
      </c>
      <c r="M175" s="166" t="e">
        <f t="shared" si="9"/>
        <v>#VALUE!</v>
      </c>
      <c r="Q175" s="72">
        <f t="shared" si="10"/>
        <v>0</v>
      </c>
      <c r="R175" s="72">
        <f t="shared" si="10"/>
        <v>0</v>
      </c>
      <c r="S175" s="72">
        <f t="shared" si="10"/>
        <v>0</v>
      </c>
      <c r="T175" s="72">
        <f t="shared" si="10"/>
        <v>0</v>
      </c>
      <c r="U175" s="72">
        <f t="shared" si="12"/>
        <v>0</v>
      </c>
      <c r="V175" s="72">
        <f t="shared" si="12"/>
        <v>1</v>
      </c>
      <c r="W175" s="72">
        <f t="shared" si="12"/>
        <v>0</v>
      </c>
      <c r="X175" s="72">
        <f t="shared" si="12"/>
        <v>0</v>
      </c>
    </row>
    <row r="176" spans="2:24" x14ac:dyDescent="0.2">
      <c r="B176" s="173" t="str">
        <f t="shared" si="6"/>
        <v>TV Básico Plus Xview+ Negocio + Telefonía Negocio + 1000 Megas NegocioSTAR + Internet fijo + Telefonía fija</v>
      </c>
      <c r="C176" s="72">
        <f t="shared" si="11"/>
        <v>50</v>
      </c>
      <c r="D176" s="77" t="str">
        <f t="shared" si="13"/>
        <v>TV Básico Plus Xview+ Negocio + Telefonía Negocio + 1000 Megas Negocio</v>
      </c>
      <c r="F176" s="86" t="str">
        <f>IFERROR(VLOOKUP($D176,Base!$B$7:$L$119,3,FALSE),"")</f>
        <v>STAR + Internet fijo + Telefonía fija</v>
      </c>
      <c r="G176" s="86" t="str">
        <f>IFERROR(VLOOKUP($D176,Base!$B$7:$L$119,2,FALSE),"")</f>
        <v>Negocio</v>
      </c>
      <c r="H176" s="86">
        <f t="shared" si="7"/>
        <v>218</v>
      </c>
      <c r="I176" s="108">
        <f>INDEX(vector.implicit.prices.STAR.before.discount,MATCH('Cálculos auxiliares'!D176,vector.plans.names,0))</f>
        <v>343.18184602486792</v>
      </c>
      <c r="J176" s="240"/>
      <c r="K176" s="195">
        <f t="shared" si="8"/>
        <v>56.872199999999999</v>
      </c>
      <c r="M176" s="166" t="e">
        <f t="shared" si="9"/>
        <v>#VALUE!</v>
      </c>
      <c r="Q176" s="72">
        <f t="shared" si="10"/>
        <v>0</v>
      </c>
      <c r="R176" s="72">
        <f t="shared" si="10"/>
        <v>0</v>
      </c>
      <c r="S176" s="72">
        <f t="shared" si="10"/>
        <v>0</v>
      </c>
      <c r="T176" s="72">
        <f t="shared" si="10"/>
        <v>0</v>
      </c>
      <c r="U176" s="72">
        <f t="shared" si="12"/>
        <v>0</v>
      </c>
      <c r="V176" s="72">
        <f t="shared" si="12"/>
        <v>1</v>
      </c>
      <c r="W176" s="72">
        <f t="shared" si="12"/>
        <v>0</v>
      </c>
      <c r="X176" s="72">
        <f t="shared" si="12"/>
        <v>0</v>
      </c>
    </row>
    <row r="177" spans="2:24" x14ac:dyDescent="0.2">
      <c r="B177" s="173" t="str">
        <f t="shared" si="6"/>
        <v>TV Básico Plus Xview+ Negocio + Telefonía Negocio + 250 Megas NegocioSTAR + Internet fijo + Telefonía fija</v>
      </c>
      <c r="C177" s="72">
        <f t="shared" si="11"/>
        <v>51</v>
      </c>
      <c r="D177" s="77" t="str">
        <f t="shared" si="13"/>
        <v>TV Básico Plus Xview+ Negocio + Telefonía Negocio + 250 Megas Negocio</v>
      </c>
      <c r="F177" s="86" t="str">
        <f>IFERROR(VLOOKUP($D177,Base!$B$7:$L$119,3,FALSE),"")</f>
        <v>STAR + Internet fijo + Telefonía fija</v>
      </c>
      <c r="G177" s="86" t="str">
        <f>IFERROR(VLOOKUP($D177,Base!$B$7:$L$119,2,FALSE),"")</f>
        <v>Negocio</v>
      </c>
      <c r="H177" s="86">
        <f t="shared" si="7"/>
        <v>218</v>
      </c>
      <c r="I177" s="108">
        <f>INDEX(vector.implicit.prices.STAR.before.discount,MATCH('Cálculos auxiliares'!D177,vector.plans.names,0))</f>
        <v>343.18184602486792</v>
      </c>
      <c r="J177" s="240"/>
      <c r="K177" s="195">
        <f t="shared" si="8"/>
        <v>1137.444</v>
      </c>
      <c r="M177" s="166" t="e">
        <f t="shared" si="9"/>
        <v>#VALUE!</v>
      </c>
      <c r="Q177" s="72">
        <f t="shared" si="10"/>
        <v>0</v>
      </c>
      <c r="R177" s="72">
        <f t="shared" si="10"/>
        <v>0</v>
      </c>
      <c r="S177" s="72">
        <f t="shared" si="10"/>
        <v>0</v>
      </c>
      <c r="T177" s="72">
        <f t="shared" si="10"/>
        <v>0</v>
      </c>
      <c r="U177" s="72">
        <f t="shared" si="12"/>
        <v>0</v>
      </c>
      <c r="V177" s="72">
        <f t="shared" si="12"/>
        <v>1</v>
      </c>
      <c r="W177" s="72">
        <f t="shared" si="12"/>
        <v>0</v>
      </c>
      <c r="X177" s="72">
        <f t="shared" si="12"/>
        <v>0</v>
      </c>
    </row>
    <row r="178" spans="2:24" x14ac:dyDescent="0.2">
      <c r="B178" s="173" t="str">
        <f t="shared" si="6"/>
        <v>TV Básico Plus Xview+ Negocio + Telefonía Negocio + 250 Megas Simetrico NegocioSTAR + Internet fijo + Telefonía fija</v>
      </c>
      <c r="C178" s="72">
        <f t="shared" si="11"/>
        <v>52</v>
      </c>
      <c r="D178" s="77" t="str">
        <f t="shared" si="13"/>
        <v>TV Básico Plus Xview+ Negocio + Telefonía Negocio + 250 Megas Simetrico Negocio</v>
      </c>
      <c r="F178" s="86" t="str">
        <f>IFERROR(VLOOKUP($D178,Base!$B$7:$L$119,3,FALSE),"")</f>
        <v>STAR + Internet fijo + Telefonía fija</v>
      </c>
      <c r="G178" s="86" t="str">
        <f>IFERROR(VLOOKUP($D178,Base!$B$7:$L$119,2,FALSE),"")</f>
        <v>Negocio</v>
      </c>
      <c r="H178" s="86">
        <f t="shared" si="7"/>
        <v>218</v>
      </c>
      <c r="I178" s="108">
        <f>INDEX(vector.implicit.prices.STAR.before.discount,MATCH('Cálculos auxiliares'!D178,vector.plans.names,0))</f>
        <v>343.18184602486792</v>
      </c>
      <c r="J178" s="240"/>
      <c r="K178" s="195">
        <f t="shared" si="8"/>
        <v>56.872199999999999</v>
      </c>
      <c r="M178" s="166" t="e">
        <f t="shared" si="9"/>
        <v>#VALUE!</v>
      </c>
      <c r="Q178" s="72">
        <f t="shared" si="10"/>
        <v>0</v>
      </c>
      <c r="R178" s="72">
        <f t="shared" si="10"/>
        <v>0</v>
      </c>
      <c r="S178" s="72">
        <f t="shared" si="10"/>
        <v>0</v>
      </c>
      <c r="T178" s="72">
        <f t="shared" si="10"/>
        <v>0</v>
      </c>
      <c r="U178" s="72">
        <f t="shared" si="12"/>
        <v>0</v>
      </c>
      <c r="V178" s="72">
        <f t="shared" si="12"/>
        <v>1</v>
      </c>
      <c r="W178" s="72">
        <f t="shared" si="12"/>
        <v>0</v>
      </c>
      <c r="X178" s="72">
        <f t="shared" si="12"/>
        <v>0</v>
      </c>
    </row>
    <row r="179" spans="2:24" x14ac:dyDescent="0.2">
      <c r="B179" s="173" t="str">
        <f t="shared" si="6"/>
        <v>TV Básico Plus Xview+ Negocio + Telefonía Negocio + 500 Megas NegocioSTAR + Internet fijo + Telefonía fija</v>
      </c>
      <c r="C179" s="72">
        <f t="shared" si="11"/>
        <v>53</v>
      </c>
      <c r="D179" s="77" t="str">
        <f t="shared" si="13"/>
        <v>TV Básico Plus Xview+ Negocio + Telefonía Negocio + 500 Megas Negocio</v>
      </c>
      <c r="F179" s="86" t="str">
        <f>IFERROR(VLOOKUP($D179,Base!$B$7:$L$119,3,FALSE),"")</f>
        <v>STAR + Internet fijo + Telefonía fija</v>
      </c>
      <c r="G179" s="86" t="str">
        <f>IFERROR(VLOOKUP($D179,Base!$B$7:$L$119,2,FALSE),"")</f>
        <v>Negocio</v>
      </c>
      <c r="H179" s="86">
        <f t="shared" si="7"/>
        <v>218</v>
      </c>
      <c r="I179" s="108">
        <f>INDEX(vector.implicit.prices.STAR.before.discount,MATCH('Cálculos auxiliares'!D179,vector.plans.names,0))</f>
        <v>343.18184602486792</v>
      </c>
      <c r="J179" s="240"/>
      <c r="K179" s="195">
        <f t="shared" si="8"/>
        <v>568.72199999999998</v>
      </c>
      <c r="M179" s="166" t="e">
        <f t="shared" si="9"/>
        <v>#VALUE!</v>
      </c>
      <c r="Q179" s="72">
        <f t="shared" si="10"/>
        <v>0</v>
      </c>
      <c r="R179" s="72">
        <f t="shared" si="10"/>
        <v>0</v>
      </c>
      <c r="S179" s="72">
        <f t="shared" si="10"/>
        <v>0</v>
      </c>
      <c r="T179" s="72">
        <f t="shared" si="10"/>
        <v>0</v>
      </c>
      <c r="U179" s="72">
        <f t="shared" si="12"/>
        <v>0</v>
      </c>
      <c r="V179" s="72">
        <f t="shared" si="12"/>
        <v>1</v>
      </c>
      <c r="W179" s="72">
        <f t="shared" si="12"/>
        <v>0</v>
      </c>
      <c r="X179" s="72">
        <f t="shared" si="12"/>
        <v>0</v>
      </c>
    </row>
    <row r="180" spans="2:24" x14ac:dyDescent="0.2">
      <c r="B180" s="173" t="str">
        <f t="shared" si="6"/>
        <v>TV Básico Plus Xview+ Negocio + Telefonía Negocio + 500 Megas Simetrico NegocioSTAR + Internet fijo + Telefonía fija</v>
      </c>
      <c r="C180" s="72">
        <f t="shared" si="11"/>
        <v>54</v>
      </c>
      <c r="D180" s="77" t="str">
        <f t="shared" si="13"/>
        <v>TV Básico Plus Xview+ Negocio + Telefonía Negocio + 500 Megas Simetrico Negocio</v>
      </c>
      <c r="F180" s="86" t="str">
        <f>IFERROR(VLOOKUP($D180,Base!$B$7:$L$119,3,FALSE),"")</f>
        <v>STAR + Internet fijo + Telefonía fija</v>
      </c>
      <c r="G180" s="86" t="str">
        <f>IFERROR(VLOOKUP($D180,Base!$B$7:$L$119,2,FALSE),"")</f>
        <v>Negocio</v>
      </c>
      <c r="H180" s="86">
        <f t="shared" si="7"/>
        <v>218</v>
      </c>
      <c r="I180" s="108">
        <f>INDEX(vector.implicit.prices.STAR.before.discount,MATCH('Cálculos auxiliares'!D180,vector.plans.names,0))</f>
        <v>343.18184602486792</v>
      </c>
      <c r="J180" s="240"/>
      <c r="K180" s="195">
        <f t="shared" si="8"/>
        <v>56.872199999999999</v>
      </c>
      <c r="M180" s="166" t="e">
        <f t="shared" si="9"/>
        <v>#VALUE!</v>
      </c>
      <c r="Q180" s="72">
        <f t="shared" si="10"/>
        <v>0</v>
      </c>
      <c r="R180" s="72">
        <f t="shared" si="10"/>
        <v>0</v>
      </c>
      <c r="S180" s="72">
        <f t="shared" si="10"/>
        <v>0</v>
      </c>
      <c r="T180" s="72">
        <f t="shared" si="10"/>
        <v>0</v>
      </c>
      <c r="U180" s="72">
        <f t="shared" si="12"/>
        <v>0</v>
      </c>
      <c r="V180" s="72">
        <f t="shared" si="12"/>
        <v>1</v>
      </c>
      <c r="W180" s="72">
        <f t="shared" si="12"/>
        <v>0</v>
      </c>
      <c r="X180" s="72">
        <f t="shared" si="12"/>
        <v>0</v>
      </c>
    </row>
    <row r="181" spans="2:24" x14ac:dyDescent="0.2">
      <c r="B181" s="173" t="str">
        <f t="shared" si="6"/>
        <v>TV Básico Plus Xview+ Negocio + Telefonía Negocio + 60 Megas NegocioSTAR + Internet fijo + Telefonía fija</v>
      </c>
      <c r="C181" s="72">
        <f t="shared" si="11"/>
        <v>55</v>
      </c>
      <c r="D181" s="77" t="str">
        <f t="shared" si="13"/>
        <v>TV Básico Plus Xview+ Negocio + Telefonía Negocio + 60 Megas Negocio</v>
      </c>
      <c r="F181" s="86" t="str">
        <f>IFERROR(VLOOKUP($D181,Base!$B$7:$L$119,3,FALSE),"")</f>
        <v>STAR + Internet fijo + Telefonía fija</v>
      </c>
      <c r="G181" s="86" t="str">
        <f>IFERROR(VLOOKUP($D181,Base!$B$7:$L$119,2,FALSE),"")</f>
        <v>Negocio</v>
      </c>
      <c r="H181" s="86">
        <f t="shared" si="7"/>
        <v>218</v>
      </c>
      <c r="I181" s="108">
        <f>INDEX(vector.implicit.prices.STAR.before.discount,MATCH('Cálculos auxiliares'!D181,vector.plans.names,0))</f>
        <v>343.18184602486792</v>
      </c>
      <c r="J181" s="240"/>
      <c r="K181" s="195">
        <f t="shared" si="8"/>
        <v>1023.6995999999999</v>
      </c>
      <c r="M181" s="166" t="e">
        <f t="shared" si="9"/>
        <v>#VALUE!</v>
      </c>
      <c r="Q181" s="72">
        <f t="shared" si="10"/>
        <v>0</v>
      </c>
      <c r="R181" s="72">
        <f t="shared" si="10"/>
        <v>0</v>
      </c>
      <c r="S181" s="72">
        <f t="shared" si="10"/>
        <v>0</v>
      </c>
      <c r="T181" s="72">
        <f t="shared" si="10"/>
        <v>0</v>
      </c>
      <c r="U181" s="72">
        <f t="shared" si="12"/>
        <v>0</v>
      </c>
      <c r="V181" s="72">
        <f t="shared" si="12"/>
        <v>1</v>
      </c>
      <c r="W181" s="72">
        <f t="shared" si="12"/>
        <v>0</v>
      </c>
      <c r="X181" s="72">
        <f t="shared" si="12"/>
        <v>0</v>
      </c>
    </row>
    <row r="182" spans="2:24" x14ac:dyDescent="0.2">
      <c r="B182" s="173" t="str">
        <f t="shared" si="6"/>
        <v>TV Básico Plus Xview+ Negocio + Telefonía Negocio + 60 Megas Simetrico NegocioSTAR + Internet fijo + Telefonía fija</v>
      </c>
      <c r="C182" s="72">
        <f t="shared" si="11"/>
        <v>56</v>
      </c>
      <c r="D182" s="77" t="str">
        <f t="shared" si="13"/>
        <v>TV Básico Plus Xview+ Negocio + Telefonía Negocio + 60 Megas Simetrico Negocio</v>
      </c>
      <c r="F182" s="86" t="str">
        <f>IFERROR(VLOOKUP($D182,Base!$B$7:$L$119,3,FALSE),"")</f>
        <v>STAR + Internet fijo + Telefonía fija</v>
      </c>
      <c r="G182" s="86" t="str">
        <f>IFERROR(VLOOKUP($D182,Base!$B$7:$L$119,2,FALSE),"")</f>
        <v>Negocio</v>
      </c>
      <c r="H182" s="86">
        <f t="shared" si="7"/>
        <v>218</v>
      </c>
      <c r="I182" s="108">
        <f>INDEX(vector.implicit.prices.STAR.before.discount,MATCH('Cálculos auxiliares'!D182,vector.plans.names,0))</f>
        <v>343.18184602486792</v>
      </c>
      <c r="J182" s="240"/>
      <c r="K182" s="195">
        <f t="shared" si="8"/>
        <v>56.872199999999999</v>
      </c>
      <c r="M182" s="166" t="e">
        <f t="shared" si="9"/>
        <v>#VALUE!</v>
      </c>
      <c r="Q182" s="72">
        <f t="shared" si="10"/>
        <v>0</v>
      </c>
      <c r="R182" s="72">
        <f t="shared" si="10"/>
        <v>0</v>
      </c>
      <c r="S182" s="72">
        <f t="shared" si="10"/>
        <v>0</v>
      </c>
      <c r="T182" s="72">
        <f t="shared" si="10"/>
        <v>0</v>
      </c>
      <c r="U182" s="72">
        <f t="shared" si="12"/>
        <v>0</v>
      </c>
      <c r="V182" s="72">
        <f t="shared" si="12"/>
        <v>1</v>
      </c>
      <c r="W182" s="72">
        <f t="shared" si="12"/>
        <v>0</v>
      </c>
      <c r="X182" s="72">
        <f t="shared" si="12"/>
        <v>0</v>
      </c>
    </row>
    <row r="183" spans="2:24" x14ac:dyDescent="0.2">
      <c r="B183" s="173" t="str">
        <f t="shared" si="6"/>
        <v>TV ConectaSolo STAR</v>
      </c>
      <c r="C183" s="72">
        <f t="shared" si="11"/>
        <v>57</v>
      </c>
      <c r="D183" s="77" t="str">
        <f t="shared" si="13"/>
        <v>TV Conecta</v>
      </c>
      <c r="F183" s="86" t="str">
        <f>IFERROR(VLOOKUP($D183,Base!$B$7:$L$119,3,FALSE),"")</f>
        <v>Solo STAR</v>
      </c>
      <c r="G183" s="86" t="str">
        <f>IFERROR(VLOOKUP($D183,Base!$B$7:$L$119,2,FALSE),"")</f>
        <v>Residencial</v>
      </c>
      <c r="H183" s="86">
        <f t="shared" si="7"/>
        <v>94</v>
      </c>
      <c r="I183" s="108">
        <f>INDEX(vector.implicit.prices.STAR.before.discount,MATCH('Cálculos auxiliares'!D183,vector.plans.names,0))</f>
        <v>250.25108804820906</v>
      </c>
      <c r="J183" s="240"/>
      <c r="K183" s="195">
        <f t="shared" si="8"/>
        <v>682.46639999999991</v>
      </c>
      <c r="M183" s="166" t="e">
        <f t="shared" si="9"/>
        <v>#VALUE!</v>
      </c>
      <c r="Q183" s="72">
        <f t="shared" si="10"/>
        <v>1</v>
      </c>
      <c r="R183" s="72">
        <f t="shared" si="10"/>
        <v>0</v>
      </c>
      <c r="S183" s="72">
        <f t="shared" si="10"/>
        <v>0</v>
      </c>
      <c r="T183" s="72">
        <f t="shared" si="10"/>
        <v>0</v>
      </c>
      <c r="U183" s="72">
        <f t="shared" si="12"/>
        <v>0</v>
      </c>
      <c r="V183" s="72">
        <f t="shared" si="12"/>
        <v>0</v>
      </c>
      <c r="W183" s="72">
        <f t="shared" si="12"/>
        <v>0</v>
      </c>
      <c r="X183" s="72">
        <f t="shared" si="12"/>
        <v>0</v>
      </c>
    </row>
    <row r="184" spans="2:24" x14ac:dyDescent="0.2">
      <c r="B184" s="173" t="str">
        <f t="shared" si="6"/>
        <v>TV Conecta NegocioSolo STAR</v>
      </c>
      <c r="C184" s="72">
        <f t="shared" si="11"/>
        <v>58</v>
      </c>
      <c r="D184" s="77" t="str">
        <f t="shared" si="13"/>
        <v>TV Conecta Negocio</v>
      </c>
      <c r="F184" s="86" t="str">
        <f>IFERROR(VLOOKUP($D184,Base!$B$7:$L$119,3,FALSE),"")</f>
        <v>Solo STAR</v>
      </c>
      <c r="G184" s="86" t="str">
        <f>IFERROR(VLOOKUP($D184,Base!$B$7:$L$119,2,FALSE),"")</f>
        <v>Negocio</v>
      </c>
      <c r="H184" s="86">
        <f t="shared" si="7"/>
        <v>94</v>
      </c>
      <c r="I184" s="108">
        <f>INDEX(vector.implicit.prices.STAR.before.discount,MATCH('Cálculos auxiliares'!D184,vector.plans.names,0))</f>
        <v>250.25108804820906</v>
      </c>
      <c r="J184" s="240"/>
      <c r="K184" s="195">
        <f t="shared" si="8"/>
        <v>56.872199999999999</v>
      </c>
      <c r="M184" s="166" t="e">
        <f t="shared" si="9"/>
        <v>#VALUE!</v>
      </c>
      <c r="Q184" s="72">
        <f t="shared" si="10"/>
        <v>1</v>
      </c>
      <c r="R184" s="72">
        <f t="shared" si="10"/>
        <v>0</v>
      </c>
      <c r="S184" s="72">
        <f t="shared" si="10"/>
        <v>0</v>
      </c>
      <c r="T184" s="72">
        <f t="shared" si="10"/>
        <v>0</v>
      </c>
      <c r="U184" s="72">
        <f t="shared" si="12"/>
        <v>0</v>
      </c>
      <c r="V184" s="72">
        <f t="shared" si="12"/>
        <v>0</v>
      </c>
      <c r="W184" s="72">
        <f t="shared" si="12"/>
        <v>0</v>
      </c>
      <c r="X184" s="72">
        <f t="shared" si="12"/>
        <v>0</v>
      </c>
    </row>
    <row r="185" spans="2:24" x14ac:dyDescent="0.2">
      <c r="B185" s="173" t="str">
        <f t="shared" si="6"/>
        <v>TV Conecta + 100 MegasSTAR + Internet fijo</v>
      </c>
      <c r="C185" s="72">
        <f t="shared" si="11"/>
        <v>59</v>
      </c>
      <c r="D185" s="77" t="str">
        <f t="shared" si="13"/>
        <v>TV Conecta + 100 Megas</v>
      </c>
      <c r="F185" s="86" t="str">
        <f>IFERROR(VLOOKUP($D185,Base!$B$7:$L$119,3,FALSE),"")</f>
        <v>STAR + Internet fijo</v>
      </c>
      <c r="G185" s="86" t="str">
        <f>IFERROR(VLOOKUP($D185,Base!$B$7:$L$119,2,FALSE),"")</f>
        <v>Residencial</v>
      </c>
      <c r="H185" s="86">
        <f t="shared" si="7"/>
        <v>94</v>
      </c>
      <c r="I185" s="108">
        <f>INDEX(vector.implicit.prices.STAR.before.discount,MATCH('Cálculos auxiliares'!D185,vector.plans.names,0))</f>
        <v>250.25108804820906</v>
      </c>
      <c r="J185" s="240"/>
      <c r="K185" s="195">
        <f t="shared" si="8"/>
        <v>284.36099999999999</v>
      </c>
      <c r="M185" s="166" t="e">
        <f t="shared" si="9"/>
        <v>#VALUE!</v>
      </c>
      <c r="Q185" s="72">
        <f t="shared" si="10"/>
        <v>1</v>
      </c>
      <c r="R185" s="72">
        <f t="shared" si="10"/>
        <v>0</v>
      </c>
      <c r="S185" s="72">
        <f t="shared" si="10"/>
        <v>0</v>
      </c>
      <c r="T185" s="72">
        <f t="shared" si="10"/>
        <v>0</v>
      </c>
      <c r="U185" s="72">
        <f t="shared" si="12"/>
        <v>0</v>
      </c>
      <c r="V185" s="72">
        <f t="shared" si="12"/>
        <v>0</v>
      </c>
      <c r="W185" s="72">
        <f t="shared" si="12"/>
        <v>0</v>
      </c>
      <c r="X185" s="72">
        <f t="shared" si="12"/>
        <v>0</v>
      </c>
    </row>
    <row r="186" spans="2:24" x14ac:dyDescent="0.2">
      <c r="B186" s="173" t="str">
        <f t="shared" si="6"/>
        <v>TV Conecta + 100 Megas SimetricoSTAR + Internet fijo</v>
      </c>
      <c r="C186" s="72">
        <f t="shared" si="11"/>
        <v>60</v>
      </c>
      <c r="D186" s="77" t="str">
        <f t="shared" si="13"/>
        <v>TV Conecta + 100 Megas Simetrico</v>
      </c>
      <c r="F186" s="86" t="str">
        <f>IFERROR(VLOOKUP($D186,Base!$B$7:$L$119,3,FALSE),"")</f>
        <v>STAR + Internet fijo</v>
      </c>
      <c r="G186" s="86" t="str">
        <f>IFERROR(VLOOKUP($D186,Base!$B$7:$L$119,2,FALSE),"")</f>
        <v>Residencial</v>
      </c>
      <c r="H186" s="86">
        <f t="shared" si="7"/>
        <v>94</v>
      </c>
      <c r="I186" s="108">
        <f>INDEX(vector.implicit.prices.STAR.before.discount,MATCH('Cálculos auxiliares'!D186,vector.plans.names,0))</f>
        <v>250.25108804820906</v>
      </c>
      <c r="J186" s="240"/>
      <c r="K186" s="195">
        <f t="shared" si="8"/>
        <v>0</v>
      </c>
      <c r="M186" s="166" t="e">
        <f t="shared" si="9"/>
        <v>#VALUE!</v>
      </c>
      <c r="Q186" s="72">
        <f t="shared" si="10"/>
        <v>1</v>
      </c>
      <c r="R186" s="72">
        <f t="shared" si="10"/>
        <v>0</v>
      </c>
      <c r="S186" s="72">
        <f t="shared" si="10"/>
        <v>0</v>
      </c>
      <c r="T186" s="72">
        <f t="shared" si="10"/>
        <v>0</v>
      </c>
      <c r="U186" s="72">
        <f t="shared" si="12"/>
        <v>0</v>
      </c>
      <c r="V186" s="72">
        <f t="shared" si="12"/>
        <v>0</v>
      </c>
      <c r="W186" s="72">
        <f t="shared" si="12"/>
        <v>0</v>
      </c>
      <c r="X186" s="72">
        <f t="shared" si="12"/>
        <v>0</v>
      </c>
    </row>
    <row r="187" spans="2:24" x14ac:dyDescent="0.2">
      <c r="B187" s="173" t="str">
        <f t="shared" si="6"/>
        <v>TV Conecta + 1000 MegasSTAR + Internet fijo</v>
      </c>
      <c r="C187" s="72">
        <f t="shared" si="11"/>
        <v>61</v>
      </c>
      <c r="D187" s="77" t="str">
        <f t="shared" si="13"/>
        <v>TV Conecta + 1000 Megas</v>
      </c>
      <c r="F187" s="86" t="str">
        <f>IFERROR(VLOOKUP($D187,Base!$B$7:$L$119,3,FALSE),"")</f>
        <v>STAR + Internet fijo</v>
      </c>
      <c r="G187" s="86" t="str">
        <f>IFERROR(VLOOKUP($D187,Base!$B$7:$L$119,2,FALSE),"")</f>
        <v>Residencial</v>
      </c>
      <c r="H187" s="86">
        <f t="shared" si="7"/>
        <v>94</v>
      </c>
      <c r="I187" s="108">
        <f>INDEX(vector.implicit.prices.STAR.before.discount,MATCH('Cálculos auxiliares'!D187,vector.plans.names,0))</f>
        <v>250.25108804820906</v>
      </c>
      <c r="J187" s="240"/>
      <c r="K187" s="195">
        <f t="shared" si="8"/>
        <v>0</v>
      </c>
      <c r="M187" s="166" t="e">
        <f t="shared" si="9"/>
        <v>#VALUE!</v>
      </c>
      <c r="Q187" s="72">
        <f t="shared" si="10"/>
        <v>1</v>
      </c>
      <c r="R187" s="72">
        <f t="shared" si="10"/>
        <v>0</v>
      </c>
      <c r="S187" s="72">
        <f t="shared" ref="S187:W239" si="14">IF(S$126=$H187,1,0)</f>
        <v>0</v>
      </c>
      <c r="T187" s="72">
        <f t="shared" si="10"/>
        <v>0</v>
      </c>
      <c r="U187" s="72">
        <f t="shared" si="12"/>
        <v>0</v>
      </c>
      <c r="V187" s="72">
        <f t="shared" si="12"/>
        <v>0</v>
      </c>
      <c r="W187" s="72">
        <f t="shared" si="12"/>
        <v>0</v>
      </c>
      <c r="X187" s="72">
        <f t="shared" si="12"/>
        <v>0</v>
      </c>
    </row>
    <row r="188" spans="2:24" x14ac:dyDescent="0.2">
      <c r="B188" s="173" t="str">
        <f t="shared" si="6"/>
        <v>TV Conecta + 250 MegasSTAR + Internet fijo</v>
      </c>
      <c r="C188" s="72">
        <f t="shared" si="11"/>
        <v>62</v>
      </c>
      <c r="D188" s="77" t="str">
        <f t="shared" si="13"/>
        <v>TV Conecta + 250 Megas</v>
      </c>
      <c r="F188" s="86" t="str">
        <f>IFERROR(VLOOKUP($D188,Base!$B$7:$L$119,3,FALSE),"")</f>
        <v>STAR + Internet fijo</v>
      </c>
      <c r="G188" s="86" t="str">
        <f>IFERROR(VLOOKUP($D188,Base!$B$7:$L$119,2,FALSE),"")</f>
        <v>Residencial</v>
      </c>
      <c r="H188" s="86">
        <f t="shared" si="7"/>
        <v>94</v>
      </c>
      <c r="I188" s="108">
        <f>INDEX(vector.implicit.prices.STAR.before.discount,MATCH('Cálculos auxiliares'!D188,vector.plans.names,0))</f>
        <v>250.25108804820906</v>
      </c>
      <c r="J188" s="240"/>
      <c r="K188" s="195">
        <f t="shared" si="8"/>
        <v>7677.7470000000003</v>
      </c>
      <c r="M188" s="166" t="e">
        <f t="shared" si="9"/>
        <v>#VALUE!</v>
      </c>
      <c r="Q188" s="72">
        <f t="shared" si="10"/>
        <v>1</v>
      </c>
      <c r="R188" s="72">
        <f t="shared" si="10"/>
        <v>0</v>
      </c>
      <c r="S188" s="72">
        <f t="shared" si="14"/>
        <v>0</v>
      </c>
      <c r="T188" s="72">
        <f t="shared" si="10"/>
        <v>0</v>
      </c>
      <c r="U188" s="72">
        <f t="shared" si="12"/>
        <v>0</v>
      </c>
      <c r="V188" s="72">
        <f t="shared" si="12"/>
        <v>0</v>
      </c>
      <c r="W188" s="72">
        <f t="shared" si="12"/>
        <v>0</v>
      </c>
      <c r="X188" s="72">
        <f t="shared" si="12"/>
        <v>0</v>
      </c>
    </row>
    <row r="189" spans="2:24" x14ac:dyDescent="0.2">
      <c r="B189" s="173" t="str">
        <f t="shared" si="6"/>
        <v>TV Conecta + 250 Megas SimetricoSTAR + Internet fijo</v>
      </c>
      <c r="C189" s="72">
        <f t="shared" si="11"/>
        <v>63</v>
      </c>
      <c r="D189" s="77" t="str">
        <f t="shared" si="13"/>
        <v>TV Conecta + 250 Megas Simetrico</v>
      </c>
      <c r="F189" s="86" t="str">
        <f>IFERROR(VLOOKUP($D189,Base!$B$7:$L$119,3,FALSE),"")</f>
        <v>STAR + Internet fijo</v>
      </c>
      <c r="G189" s="86" t="str">
        <f>IFERROR(VLOOKUP($D189,Base!$B$7:$L$119,2,FALSE),"")</f>
        <v>Residencial</v>
      </c>
      <c r="H189" s="86">
        <f t="shared" si="7"/>
        <v>94</v>
      </c>
      <c r="I189" s="108">
        <f>INDEX(vector.implicit.prices.STAR.before.discount,MATCH('Cálculos auxiliares'!D189,vector.plans.names,0))</f>
        <v>250.25108804820906</v>
      </c>
      <c r="J189" s="240"/>
      <c r="K189" s="195">
        <f t="shared" si="8"/>
        <v>0</v>
      </c>
      <c r="M189" s="166" t="e">
        <f t="shared" si="9"/>
        <v>#VALUE!</v>
      </c>
      <c r="Q189" s="72">
        <f t="shared" si="10"/>
        <v>1</v>
      </c>
      <c r="R189" s="72">
        <f t="shared" si="10"/>
        <v>0</v>
      </c>
      <c r="S189" s="72">
        <f t="shared" si="14"/>
        <v>0</v>
      </c>
      <c r="T189" s="72">
        <f t="shared" si="10"/>
        <v>0</v>
      </c>
      <c r="U189" s="72">
        <f t="shared" si="12"/>
        <v>0</v>
      </c>
      <c r="V189" s="72">
        <f t="shared" si="12"/>
        <v>0</v>
      </c>
      <c r="W189" s="72">
        <f t="shared" si="12"/>
        <v>0</v>
      </c>
      <c r="X189" s="72">
        <f t="shared" si="12"/>
        <v>0</v>
      </c>
    </row>
    <row r="190" spans="2:24" x14ac:dyDescent="0.2">
      <c r="B190" s="173" t="str">
        <f t="shared" si="6"/>
        <v>TV Conecta + 500 MegasSTAR + Internet fijo</v>
      </c>
      <c r="C190" s="72">
        <f t="shared" si="11"/>
        <v>64</v>
      </c>
      <c r="D190" s="77" t="str">
        <f t="shared" si="13"/>
        <v>TV Conecta + 500 Megas</v>
      </c>
      <c r="F190" s="86" t="str">
        <f>IFERROR(VLOOKUP($D190,Base!$B$7:$L$119,3,FALSE),"")</f>
        <v>STAR + Internet fijo</v>
      </c>
      <c r="G190" s="86" t="str">
        <f>IFERROR(VLOOKUP($D190,Base!$B$7:$L$119,2,FALSE),"")</f>
        <v>Residencial</v>
      </c>
      <c r="H190" s="86">
        <f t="shared" si="7"/>
        <v>94</v>
      </c>
      <c r="I190" s="108">
        <f>INDEX(vector.implicit.prices.STAR.before.discount,MATCH('Cálculos auxiliares'!D190,vector.plans.names,0))</f>
        <v>250.25108804820906</v>
      </c>
      <c r="J190" s="240"/>
      <c r="K190" s="195">
        <f t="shared" si="8"/>
        <v>113.7444</v>
      </c>
      <c r="M190" s="166" t="e">
        <f t="shared" si="9"/>
        <v>#VALUE!</v>
      </c>
      <c r="Q190" s="72">
        <f t="shared" si="10"/>
        <v>1</v>
      </c>
      <c r="R190" s="72">
        <f t="shared" si="10"/>
        <v>0</v>
      </c>
      <c r="S190" s="72">
        <f t="shared" si="14"/>
        <v>0</v>
      </c>
      <c r="T190" s="72">
        <f t="shared" si="10"/>
        <v>0</v>
      </c>
      <c r="U190" s="72">
        <f t="shared" si="12"/>
        <v>0</v>
      </c>
      <c r="V190" s="72">
        <f t="shared" si="12"/>
        <v>0</v>
      </c>
      <c r="W190" s="72">
        <f t="shared" si="12"/>
        <v>0</v>
      </c>
      <c r="X190" s="72">
        <f t="shared" si="12"/>
        <v>0</v>
      </c>
    </row>
    <row r="191" spans="2:24" x14ac:dyDescent="0.2">
      <c r="B191" s="173" t="str">
        <f t="shared" si="6"/>
        <v>TV Conecta + 500 Megas SimetricoSTAR + Internet fijo</v>
      </c>
      <c r="C191" s="72">
        <f t="shared" si="11"/>
        <v>65</v>
      </c>
      <c r="D191" s="77" t="str">
        <f t="shared" ref="D191:D222" si="15">D72</f>
        <v>TV Conecta + 500 Megas Simetrico</v>
      </c>
      <c r="F191" s="86" t="str">
        <f>IFERROR(VLOOKUP($D191,Base!$B$7:$L$119,3,FALSE),"")</f>
        <v>STAR + Internet fijo</v>
      </c>
      <c r="G191" s="86" t="str">
        <f>IFERROR(VLOOKUP($D191,Base!$B$7:$L$119,2,FALSE),"")</f>
        <v>Residencial</v>
      </c>
      <c r="H191" s="86">
        <f t="shared" si="7"/>
        <v>94</v>
      </c>
      <c r="I191" s="108">
        <f>INDEX(vector.implicit.prices.STAR.before.discount,MATCH('Cálculos auxiliares'!D191,vector.plans.names,0))</f>
        <v>250.25108804820906</v>
      </c>
      <c r="J191" s="240"/>
      <c r="K191" s="195">
        <f t="shared" si="8"/>
        <v>0</v>
      </c>
      <c r="M191" s="166" t="e">
        <f t="shared" si="9"/>
        <v>#VALUE!</v>
      </c>
      <c r="Q191" s="72">
        <f t="shared" si="10"/>
        <v>1</v>
      </c>
      <c r="R191" s="72">
        <f t="shared" si="10"/>
        <v>0</v>
      </c>
      <c r="S191" s="72">
        <f t="shared" si="14"/>
        <v>0</v>
      </c>
      <c r="T191" s="72">
        <f t="shared" si="10"/>
        <v>0</v>
      </c>
      <c r="U191" s="72">
        <f t="shared" si="12"/>
        <v>0</v>
      </c>
      <c r="V191" s="72">
        <f t="shared" si="12"/>
        <v>0</v>
      </c>
      <c r="W191" s="72">
        <f t="shared" si="12"/>
        <v>0</v>
      </c>
      <c r="X191" s="72">
        <f t="shared" si="12"/>
        <v>0</v>
      </c>
    </row>
    <row r="192" spans="2:24" x14ac:dyDescent="0.2">
      <c r="B192" s="173" t="str">
        <f t="shared" ref="B192:B234" si="16">D192&amp;F192</f>
        <v>TV Conecta + 60 MegasSTAR + Internet fijo</v>
      </c>
      <c r="C192" s="72">
        <f t="shared" si="11"/>
        <v>66</v>
      </c>
      <c r="D192" s="77" t="str">
        <f t="shared" si="15"/>
        <v>TV Conecta + 60 Megas</v>
      </c>
      <c r="F192" s="86" t="str">
        <f>IFERROR(VLOOKUP($D192,Base!$B$7:$L$119,3,FALSE),"")</f>
        <v>STAR + Internet fijo</v>
      </c>
      <c r="G192" s="86" t="str">
        <f>IFERROR(VLOOKUP($D192,Base!$B$7:$L$119,2,FALSE),"")</f>
        <v>Residencial</v>
      </c>
      <c r="H192" s="86">
        <f t="shared" ref="H192:H239" si="17">IFERROR(VLOOKUP($D192,$D$8:$K$120,6,FALSE),"")</f>
        <v>104</v>
      </c>
      <c r="I192" s="108">
        <f>INDEX(vector.implicit.prices.STAR.before.discount,MATCH('Cálculos auxiliares'!D192,vector.plans.names,0))</f>
        <v>259.93129450590209</v>
      </c>
      <c r="J192" s="240"/>
      <c r="K192" s="195">
        <f t="shared" ref="K192:K239" si="18">VLOOKUP(D192,$D$8:$K$120,8,FALSE)</f>
        <v>8587.7021999999997</v>
      </c>
      <c r="M192" s="166" t="e">
        <f t="shared" ref="M192:M221" si="19">LEFT(H192,FIND(" ",H192))*1</f>
        <v>#VALUE!</v>
      </c>
      <c r="Q192" s="72">
        <f t="shared" ref="Q192:S241" si="20">IF(Q$126=$H192,1,0)</f>
        <v>0</v>
      </c>
      <c r="R192" s="72">
        <f t="shared" si="20"/>
        <v>1</v>
      </c>
      <c r="S192" s="72">
        <f t="shared" si="14"/>
        <v>0</v>
      </c>
      <c r="T192" s="72">
        <f t="shared" si="14"/>
        <v>0</v>
      </c>
      <c r="U192" s="72">
        <f t="shared" si="12"/>
        <v>0</v>
      </c>
      <c r="V192" s="72">
        <f t="shared" si="12"/>
        <v>0</v>
      </c>
      <c r="W192" s="72">
        <f t="shared" si="12"/>
        <v>0</v>
      </c>
      <c r="X192" s="72">
        <f t="shared" si="12"/>
        <v>0</v>
      </c>
    </row>
    <row r="193" spans="2:24" x14ac:dyDescent="0.2">
      <c r="B193" s="173" t="str">
        <f t="shared" si="16"/>
        <v>TV Conecta + 60 Megas SimetricoSTAR + Internet fijo</v>
      </c>
      <c r="C193" s="72">
        <f t="shared" ref="C193:C246" si="21">1+C192</f>
        <v>67</v>
      </c>
      <c r="D193" s="77" t="str">
        <f t="shared" si="15"/>
        <v>TV Conecta + 60 Megas Simetrico</v>
      </c>
      <c r="F193" s="86" t="str">
        <f>IFERROR(VLOOKUP($D193,Base!$B$7:$L$119,3,FALSE),"")</f>
        <v>STAR + Internet fijo</v>
      </c>
      <c r="G193" s="86" t="str">
        <f>IFERROR(VLOOKUP($D193,Base!$B$7:$L$119,2,FALSE),"")</f>
        <v>Residencial</v>
      </c>
      <c r="H193" s="86">
        <f t="shared" si="17"/>
        <v>104</v>
      </c>
      <c r="I193" s="108">
        <f>INDEX(vector.implicit.prices.STAR.before.discount,MATCH('Cálculos auxiliares'!D193,vector.plans.names,0))</f>
        <v>259.93129450590209</v>
      </c>
      <c r="J193" s="240"/>
      <c r="K193" s="195">
        <f t="shared" si="18"/>
        <v>56.872199999999999</v>
      </c>
      <c r="M193" s="166" t="e">
        <f t="shared" si="19"/>
        <v>#VALUE!</v>
      </c>
      <c r="Q193" s="72">
        <f t="shared" si="20"/>
        <v>0</v>
      </c>
      <c r="R193" s="72">
        <f t="shared" si="20"/>
        <v>1</v>
      </c>
      <c r="S193" s="72">
        <f t="shared" si="14"/>
        <v>0</v>
      </c>
      <c r="T193" s="72">
        <f t="shared" si="14"/>
        <v>0</v>
      </c>
      <c r="U193" s="72">
        <f t="shared" si="12"/>
        <v>0</v>
      </c>
      <c r="V193" s="72">
        <f t="shared" si="12"/>
        <v>0</v>
      </c>
      <c r="W193" s="72">
        <f t="shared" si="12"/>
        <v>0</v>
      </c>
      <c r="X193" s="72">
        <f t="shared" si="12"/>
        <v>0</v>
      </c>
    </row>
    <row r="194" spans="2:24" x14ac:dyDescent="0.2">
      <c r="B194" s="173" t="str">
        <f t="shared" si="16"/>
        <v>TV Conecta + HD + Telefonía + 100 MegasSTAR + Internet fijo + Telefonía fija</v>
      </c>
      <c r="C194" s="72">
        <f t="shared" si="21"/>
        <v>68</v>
      </c>
      <c r="D194" s="77" t="str">
        <f t="shared" si="15"/>
        <v>TV Conecta + HD + Telefonía + 100 Megas</v>
      </c>
      <c r="F194" s="86" t="str">
        <f>IFERROR(VLOOKUP($D194,Base!$B$7:$L$119,3,FALSE),"")</f>
        <v>STAR + Internet fijo + Telefonía fija</v>
      </c>
      <c r="G194" s="86" t="str">
        <f>IFERROR(VLOOKUP($D194,Base!$B$7:$L$119,2,FALSE),"")</f>
        <v>Residencial</v>
      </c>
      <c r="H194" s="86">
        <f t="shared" si="17"/>
        <v>138</v>
      </c>
      <c r="I194" s="108">
        <f>INDEX(vector.implicit.prices.STAR.before.discount,MATCH('Cálculos auxiliares'!D194,vector.plans.names,0))</f>
        <v>289.05214383162104</v>
      </c>
      <c r="J194" s="240"/>
      <c r="K194" s="195">
        <f t="shared" si="18"/>
        <v>0</v>
      </c>
      <c r="M194" s="166" t="e">
        <f t="shared" si="19"/>
        <v>#VALUE!</v>
      </c>
      <c r="Q194" s="72">
        <f t="shared" si="20"/>
        <v>0</v>
      </c>
      <c r="R194" s="72">
        <f t="shared" si="20"/>
        <v>0</v>
      </c>
      <c r="S194" s="72">
        <f t="shared" si="14"/>
        <v>1</v>
      </c>
      <c r="T194" s="72">
        <f t="shared" si="14"/>
        <v>0</v>
      </c>
      <c r="U194" s="72">
        <f t="shared" si="12"/>
        <v>0</v>
      </c>
      <c r="V194" s="72">
        <f t="shared" si="12"/>
        <v>0</v>
      </c>
      <c r="W194" s="72">
        <f t="shared" si="12"/>
        <v>0</v>
      </c>
      <c r="X194" s="72">
        <f t="shared" si="12"/>
        <v>0</v>
      </c>
    </row>
    <row r="195" spans="2:24" x14ac:dyDescent="0.2">
      <c r="B195" s="173" t="str">
        <f t="shared" si="16"/>
        <v>TV Conecta + HD + Telefonía + 100 Megas SimetricoSTAR + Internet fijo + Telefonía fija</v>
      </c>
      <c r="C195" s="72">
        <f t="shared" si="21"/>
        <v>69</v>
      </c>
      <c r="D195" s="77" t="str">
        <f t="shared" si="15"/>
        <v>TV Conecta + HD + Telefonía + 100 Megas Simetrico</v>
      </c>
      <c r="F195" s="86" t="str">
        <f>IFERROR(VLOOKUP($D195,Base!$B$7:$L$119,3,FALSE),"")</f>
        <v>STAR + Internet fijo + Telefonía fija</v>
      </c>
      <c r="G195" s="86" t="str">
        <f>IFERROR(VLOOKUP($D195,Base!$B$7:$L$119,2,FALSE),"")</f>
        <v>Residencial</v>
      </c>
      <c r="H195" s="86">
        <f t="shared" si="17"/>
        <v>138</v>
      </c>
      <c r="I195" s="108">
        <f>INDEX(vector.implicit.prices.STAR.before.discount,MATCH('Cálculos auxiliares'!D195,vector.plans.names,0))</f>
        <v>289.05214383162104</v>
      </c>
      <c r="J195" s="240"/>
      <c r="K195" s="195">
        <f t="shared" si="18"/>
        <v>0</v>
      </c>
      <c r="M195" s="166" t="e">
        <f t="shared" si="19"/>
        <v>#VALUE!</v>
      </c>
      <c r="Q195" s="72">
        <f t="shared" si="20"/>
        <v>0</v>
      </c>
      <c r="R195" s="72">
        <f t="shared" si="20"/>
        <v>0</v>
      </c>
      <c r="S195" s="72">
        <f t="shared" si="14"/>
        <v>1</v>
      </c>
      <c r="T195" s="72">
        <f t="shared" si="14"/>
        <v>0</v>
      </c>
      <c r="U195" s="72">
        <f t="shared" si="12"/>
        <v>0</v>
      </c>
      <c r="V195" s="72">
        <f t="shared" si="12"/>
        <v>0</v>
      </c>
      <c r="W195" s="72">
        <f t="shared" si="12"/>
        <v>0</v>
      </c>
      <c r="X195" s="72">
        <f t="shared" si="12"/>
        <v>0</v>
      </c>
    </row>
    <row r="196" spans="2:24" x14ac:dyDescent="0.2">
      <c r="B196" s="173" t="str">
        <f t="shared" si="16"/>
        <v>TV Conecta + HD + Telefonía + 1000 MegasSTAR + Internet fijo + Telefonía fija</v>
      </c>
      <c r="C196" s="72">
        <f t="shared" si="21"/>
        <v>70</v>
      </c>
      <c r="D196" s="77" t="str">
        <f t="shared" si="15"/>
        <v>TV Conecta + HD + Telefonía + 1000 Megas</v>
      </c>
      <c r="F196" s="86" t="str">
        <f>IFERROR(VLOOKUP($D196,Base!$B$7:$L$119,3,FALSE),"")</f>
        <v>STAR + Internet fijo + Telefonía fija</v>
      </c>
      <c r="G196" s="86" t="str">
        <f>IFERROR(VLOOKUP($D196,Base!$B$7:$L$119,2,FALSE),"")</f>
        <v>Residencial</v>
      </c>
      <c r="H196" s="86">
        <f t="shared" si="17"/>
        <v>138</v>
      </c>
      <c r="I196" s="108">
        <f>INDEX(vector.implicit.prices.STAR.before.discount,MATCH('Cálculos auxiliares'!D196,vector.plans.names,0))</f>
        <v>289.05214383162104</v>
      </c>
      <c r="J196" s="240"/>
      <c r="K196" s="195">
        <f t="shared" si="18"/>
        <v>0</v>
      </c>
      <c r="M196" s="166" t="e">
        <f t="shared" si="19"/>
        <v>#VALUE!</v>
      </c>
      <c r="Q196" s="72">
        <f t="shared" si="20"/>
        <v>0</v>
      </c>
      <c r="R196" s="72">
        <f t="shared" si="20"/>
        <v>0</v>
      </c>
      <c r="S196" s="72">
        <f t="shared" si="14"/>
        <v>1</v>
      </c>
      <c r="T196" s="72">
        <f t="shared" si="14"/>
        <v>0</v>
      </c>
      <c r="U196" s="72">
        <f t="shared" si="12"/>
        <v>0</v>
      </c>
      <c r="V196" s="72">
        <f t="shared" si="12"/>
        <v>0</v>
      </c>
      <c r="W196" s="72">
        <f t="shared" si="12"/>
        <v>0</v>
      </c>
      <c r="X196" s="72">
        <f t="shared" si="12"/>
        <v>0</v>
      </c>
    </row>
    <row r="197" spans="2:24" x14ac:dyDescent="0.2">
      <c r="B197" s="173" t="str">
        <f t="shared" si="16"/>
        <v>TV Conecta + HD + Telefonía + 250 MegasSTAR + Internet fijo + Telefonía fija</v>
      </c>
      <c r="C197" s="72">
        <f t="shared" si="21"/>
        <v>71</v>
      </c>
      <c r="D197" s="77" t="str">
        <f t="shared" si="15"/>
        <v>TV Conecta + HD + Telefonía + 250 Megas</v>
      </c>
      <c r="F197" s="86" t="str">
        <f>IFERROR(VLOOKUP($D197,Base!$B$7:$L$119,3,FALSE),"")</f>
        <v>STAR + Internet fijo + Telefonía fija</v>
      </c>
      <c r="G197" s="86" t="str">
        <f>IFERROR(VLOOKUP($D197,Base!$B$7:$L$119,2,FALSE),"")</f>
        <v>Residencial</v>
      </c>
      <c r="H197" s="86">
        <f t="shared" si="17"/>
        <v>138</v>
      </c>
      <c r="I197" s="108">
        <f>INDEX(vector.implicit.prices.STAR.before.discount,MATCH('Cálculos auxiliares'!D197,vector.plans.names,0))</f>
        <v>289.05214383162104</v>
      </c>
      <c r="J197" s="240"/>
      <c r="K197" s="195">
        <f t="shared" si="18"/>
        <v>0</v>
      </c>
      <c r="M197" s="166" t="e">
        <f t="shared" si="19"/>
        <v>#VALUE!</v>
      </c>
      <c r="Q197" s="72">
        <f t="shared" si="20"/>
        <v>0</v>
      </c>
      <c r="R197" s="72">
        <f t="shared" si="20"/>
        <v>0</v>
      </c>
      <c r="S197" s="72">
        <f t="shared" si="14"/>
        <v>1</v>
      </c>
      <c r="T197" s="72">
        <f t="shared" si="14"/>
        <v>0</v>
      </c>
      <c r="U197" s="72">
        <f t="shared" si="12"/>
        <v>0</v>
      </c>
      <c r="V197" s="72">
        <f t="shared" si="12"/>
        <v>0</v>
      </c>
      <c r="W197" s="72">
        <f t="shared" si="12"/>
        <v>0</v>
      </c>
      <c r="X197" s="72">
        <f t="shared" si="12"/>
        <v>0</v>
      </c>
    </row>
    <row r="198" spans="2:24" x14ac:dyDescent="0.2">
      <c r="B198" s="173" t="str">
        <f t="shared" si="16"/>
        <v>TV Conecta + HD + Telefonía + 250 Megas SimetricoSTAR + Internet fijo + Telefonía fija</v>
      </c>
      <c r="C198" s="72">
        <f t="shared" si="21"/>
        <v>72</v>
      </c>
      <c r="D198" s="77" t="str">
        <f t="shared" si="15"/>
        <v>TV Conecta + HD + Telefonía + 250 Megas Simetrico</v>
      </c>
      <c r="F198" s="86" t="str">
        <f>IFERROR(VLOOKUP($D198,Base!$B$7:$L$119,3,FALSE),"")</f>
        <v>STAR + Internet fijo + Telefonía fija</v>
      </c>
      <c r="G198" s="86" t="str">
        <f>IFERROR(VLOOKUP($D198,Base!$B$7:$L$119,2,FALSE),"")</f>
        <v>Residencial</v>
      </c>
      <c r="H198" s="86">
        <f t="shared" si="17"/>
        <v>138</v>
      </c>
      <c r="I198" s="108">
        <f>INDEX(vector.implicit.prices.STAR.before.discount,MATCH('Cálculos auxiliares'!D198,vector.plans.names,0))</f>
        <v>289.05214383162104</v>
      </c>
      <c r="J198" s="240"/>
      <c r="K198" s="195">
        <f t="shared" si="18"/>
        <v>0</v>
      </c>
      <c r="M198" s="166" t="e">
        <f t="shared" si="19"/>
        <v>#VALUE!</v>
      </c>
      <c r="Q198" s="72">
        <f t="shared" si="20"/>
        <v>0</v>
      </c>
      <c r="R198" s="72">
        <f t="shared" si="20"/>
        <v>0</v>
      </c>
      <c r="S198" s="72">
        <f t="shared" si="14"/>
        <v>1</v>
      </c>
      <c r="T198" s="72">
        <f t="shared" si="14"/>
        <v>0</v>
      </c>
      <c r="U198" s="72">
        <f t="shared" si="12"/>
        <v>0</v>
      </c>
      <c r="V198" s="72">
        <f t="shared" si="12"/>
        <v>0</v>
      </c>
      <c r="W198" s="72">
        <f t="shared" si="12"/>
        <v>0</v>
      </c>
      <c r="X198" s="72">
        <f t="shared" si="12"/>
        <v>0</v>
      </c>
    </row>
    <row r="199" spans="2:24" x14ac:dyDescent="0.2">
      <c r="B199" s="173" t="str">
        <f t="shared" si="16"/>
        <v>TV Conecta + HD + Telefonía + 500 MegasSTAR + Internet fijo + Telefonía fija</v>
      </c>
      <c r="C199" s="72">
        <f t="shared" si="21"/>
        <v>73</v>
      </c>
      <c r="D199" s="77" t="str">
        <f t="shared" si="15"/>
        <v>TV Conecta + HD + Telefonía + 500 Megas</v>
      </c>
      <c r="F199" s="86" t="str">
        <f>IFERROR(VLOOKUP($D199,Base!$B$7:$L$119,3,FALSE),"")</f>
        <v>STAR + Internet fijo + Telefonía fija</v>
      </c>
      <c r="G199" s="86" t="str">
        <f>IFERROR(VLOOKUP($D199,Base!$B$7:$L$119,2,FALSE),"")</f>
        <v>Residencial</v>
      </c>
      <c r="H199" s="86">
        <f t="shared" si="17"/>
        <v>138</v>
      </c>
      <c r="I199" s="108">
        <f>INDEX(vector.implicit.prices.STAR.before.discount,MATCH('Cálculos auxiliares'!D199,vector.plans.names,0))</f>
        <v>289.05214383162104</v>
      </c>
      <c r="J199" s="240"/>
      <c r="K199" s="195">
        <f t="shared" si="18"/>
        <v>0</v>
      </c>
      <c r="M199" s="166" t="e">
        <f t="shared" si="19"/>
        <v>#VALUE!</v>
      </c>
      <c r="Q199" s="72">
        <f t="shared" si="20"/>
        <v>0</v>
      </c>
      <c r="R199" s="72">
        <f t="shared" si="20"/>
        <v>0</v>
      </c>
      <c r="S199" s="72">
        <f t="shared" si="14"/>
        <v>1</v>
      </c>
      <c r="T199" s="72">
        <f t="shared" si="14"/>
        <v>0</v>
      </c>
      <c r="U199" s="72">
        <f t="shared" si="12"/>
        <v>0</v>
      </c>
      <c r="V199" s="72">
        <f t="shared" si="12"/>
        <v>0</v>
      </c>
      <c r="W199" s="72">
        <f t="shared" si="12"/>
        <v>0</v>
      </c>
      <c r="X199" s="72">
        <f t="shared" si="12"/>
        <v>0</v>
      </c>
    </row>
    <row r="200" spans="2:24" x14ac:dyDescent="0.2">
      <c r="B200" s="173" t="str">
        <f t="shared" si="16"/>
        <v>TV Conecta + HD + Telefonía + 500 Megas SimetricoSTAR + Internet fijo + Telefonía fija</v>
      </c>
      <c r="C200" s="72">
        <f t="shared" si="21"/>
        <v>74</v>
      </c>
      <c r="D200" s="77" t="str">
        <f t="shared" si="15"/>
        <v>TV Conecta + HD + Telefonía + 500 Megas Simetrico</v>
      </c>
      <c r="F200" s="86" t="str">
        <f>IFERROR(VLOOKUP($D200,Base!$B$7:$L$119,3,FALSE),"")</f>
        <v>STAR + Internet fijo + Telefonía fija</v>
      </c>
      <c r="G200" s="86" t="str">
        <f>IFERROR(VLOOKUP($D200,Base!$B$7:$L$119,2,FALSE),"")</f>
        <v>Residencial</v>
      </c>
      <c r="H200" s="86">
        <f t="shared" si="17"/>
        <v>138</v>
      </c>
      <c r="I200" s="108">
        <f>INDEX(vector.implicit.prices.STAR.before.discount,MATCH('Cálculos auxiliares'!D200,vector.plans.names,0))</f>
        <v>289.05214383162104</v>
      </c>
      <c r="J200" s="240"/>
      <c r="K200" s="195">
        <f t="shared" si="18"/>
        <v>0</v>
      </c>
      <c r="M200" s="166" t="e">
        <f t="shared" si="19"/>
        <v>#VALUE!</v>
      </c>
      <c r="Q200" s="72">
        <f t="shared" si="20"/>
        <v>0</v>
      </c>
      <c r="R200" s="72">
        <f t="shared" si="20"/>
        <v>0</v>
      </c>
      <c r="S200" s="72">
        <f t="shared" si="14"/>
        <v>1</v>
      </c>
      <c r="T200" s="72">
        <f t="shared" si="14"/>
        <v>0</v>
      </c>
      <c r="U200" s="72">
        <f t="shared" si="12"/>
        <v>0</v>
      </c>
      <c r="V200" s="72">
        <f t="shared" si="12"/>
        <v>0</v>
      </c>
      <c r="W200" s="72">
        <f t="shared" si="12"/>
        <v>0</v>
      </c>
      <c r="X200" s="72">
        <f t="shared" si="12"/>
        <v>0</v>
      </c>
    </row>
    <row r="201" spans="2:24" x14ac:dyDescent="0.2">
      <c r="B201" s="173" t="str">
        <f t="shared" si="16"/>
        <v>TV Conecta + HD + Telefonía + 60 MegasSTAR + Internet fijo + Telefonía fija</v>
      </c>
      <c r="C201" s="72">
        <f t="shared" si="21"/>
        <v>75</v>
      </c>
      <c r="D201" s="77" t="str">
        <f t="shared" si="15"/>
        <v>TV Conecta + HD + Telefonía + 60 Megas</v>
      </c>
      <c r="F201" s="86" t="str">
        <f>IFERROR(VLOOKUP($D201,Base!$B$7:$L$119,3,FALSE),"")</f>
        <v>STAR + Internet fijo + Telefonía fija</v>
      </c>
      <c r="G201" s="86" t="str">
        <f>IFERROR(VLOOKUP($D201,Base!$B$7:$L$119,2,FALSE),"")</f>
        <v>Residencial</v>
      </c>
      <c r="H201" s="86">
        <f t="shared" si="17"/>
        <v>144</v>
      </c>
      <c r="I201" s="108">
        <f>INDEX(vector.implicit.prices.STAR.before.discount,MATCH('Cálculos auxiliares'!D201,vector.plans.names,0))</f>
        <v>293.70751961459428</v>
      </c>
      <c r="J201" s="240"/>
      <c r="K201" s="195">
        <f t="shared" si="18"/>
        <v>0</v>
      </c>
      <c r="M201" s="166" t="e">
        <f t="shared" si="19"/>
        <v>#VALUE!</v>
      </c>
      <c r="Q201" s="72">
        <f t="shared" si="20"/>
        <v>0</v>
      </c>
      <c r="R201" s="72">
        <f t="shared" si="20"/>
        <v>0</v>
      </c>
      <c r="S201" s="72">
        <f t="shared" si="14"/>
        <v>0</v>
      </c>
      <c r="T201" s="72">
        <f t="shared" si="14"/>
        <v>1</v>
      </c>
      <c r="U201" s="72">
        <f t="shared" si="12"/>
        <v>0</v>
      </c>
      <c r="V201" s="72">
        <f t="shared" si="12"/>
        <v>0</v>
      </c>
      <c r="W201" s="72">
        <f t="shared" si="12"/>
        <v>0</v>
      </c>
      <c r="X201" s="72">
        <f t="shared" si="12"/>
        <v>0</v>
      </c>
    </row>
    <row r="202" spans="2:24" x14ac:dyDescent="0.2">
      <c r="B202" s="173" t="str">
        <f t="shared" si="16"/>
        <v>TV Conecta + HD + Telefonía + 60 Megas SimetricoSTAR + Internet fijo + Telefonía fija</v>
      </c>
      <c r="C202" s="72">
        <f t="shared" si="21"/>
        <v>76</v>
      </c>
      <c r="D202" s="77" t="str">
        <f t="shared" si="15"/>
        <v>TV Conecta + HD + Telefonía + 60 Megas Simetrico</v>
      </c>
      <c r="F202" s="86" t="str">
        <f>IFERROR(VLOOKUP($D202,Base!$B$7:$L$119,3,FALSE),"")</f>
        <v>STAR + Internet fijo + Telefonía fija</v>
      </c>
      <c r="G202" s="86" t="str">
        <f>IFERROR(VLOOKUP($D202,Base!$B$7:$L$119,2,FALSE),"")</f>
        <v>Residencial</v>
      </c>
      <c r="H202" s="86">
        <f t="shared" si="17"/>
        <v>144</v>
      </c>
      <c r="I202" s="108">
        <f>INDEX(vector.implicit.prices.STAR.before.discount,MATCH('Cálculos auxiliares'!D202,vector.plans.names,0))</f>
        <v>293.70751961459428</v>
      </c>
      <c r="J202" s="240"/>
      <c r="K202" s="195">
        <f t="shared" si="18"/>
        <v>0</v>
      </c>
      <c r="M202" s="166" t="e">
        <f t="shared" si="19"/>
        <v>#VALUE!</v>
      </c>
      <c r="Q202" s="72">
        <f t="shared" si="20"/>
        <v>0</v>
      </c>
      <c r="R202" s="72">
        <f t="shared" si="20"/>
        <v>0</v>
      </c>
      <c r="S202" s="72">
        <f t="shared" si="14"/>
        <v>0</v>
      </c>
      <c r="T202" s="72">
        <f t="shared" si="14"/>
        <v>1</v>
      </c>
      <c r="U202" s="72">
        <f t="shared" si="12"/>
        <v>0</v>
      </c>
      <c r="V202" s="72">
        <f t="shared" si="12"/>
        <v>0</v>
      </c>
      <c r="W202" s="72">
        <f t="shared" si="12"/>
        <v>0</v>
      </c>
      <c r="X202" s="72">
        <f t="shared" si="12"/>
        <v>0</v>
      </c>
    </row>
    <row r="203" spans="2:24" x14ac:dyDescent="0.2">
      <c r="B203" s="173" t="str">
        <f t="shared" si="16"/>
        <v>TV Conecta + HD Negocio + Telefonía Negocio + 100 Megas NegocioSTAR + Internet fijo + Telefonía fija</v>
      </c>
      <c r="C203" s="72">
        <f t="shared" si="21"/>
        <v>77</v>
      </c>
      <c r="D203" s="77" t="str">
        <f t="shared" si="15"/>
        <v>TV Conecta + HD Negocio + Telefonía Negocio + 100 Megas Negocio</v>
      </c>
      <c r="F203" s="86" t="str">
        <f>IFERROR(VLOOKUP($D203,Base!$B$7:$L$119,3,FALSE),"")</f>
        <v>STAR + Internet fijo + Telefonía fija</v>
      </c>
      <c r="G203" s="86" t="str">
        <f>IFERROR(VLOOKUP($D203,Base!$B$7:$L$119,2,FALSE),"")</f>
        <v>Negocio</v>
      </c>
      <c r="H203" s="86">
        <f t="shared" si="17"/>
        <v>138</v>
      </c>
      <c r="I203" s="108">
        <f>INDEX(vector.implicit.prices.STAR.before.discount,MATCH('Cálculos auxiliares'!D203,vector.plans.names,0))</f>
        <v>289.05214383162104</v>
      </c>
      <c r="J203" s="240"/>
      <c r="K203" s="195">
        <f t="shared" si="18"/>
        <v>0</v>
      </c>
      <c r="M203" s="166" t="e">
        <f t="shared" si="19"/>
        <v>#VALUE!</v>
      </c>
      <c r="Q203" s="72">
        <f t="shared" si="20"/>
        <v>0</v>
      </c>
      <c r="R203" s="72">
        <f t="shared" si="20"/>
        <v>0</v>
      </c>
      <c r="S203" s="72">
        <f t="shared" si="14"/>
        <v>1</v>
      </c>
      <c r="T203" s="72">
        <f t="shared" si="14"/>
        <v>0</v>
      </c>
      <c r="U203" s="72">
        <f t="shared" si="12"/>
        <v>0</v>
      </c>
      <c r="V203" s="72">
        <f t="shared" si="12"/>
        <v>0</v>
      </c>
      <c r="W203" s="72">
        <f t="shared" si="12"/>
        <v>0</v>
      </c>
      <c r="X203" s="72">
        <f t="shared" si="12"/>
        <v>0</v>
      </c>
    </row>
    <row r="204" spans="2:24" x14ac:dyDescent="0.2">
      <c r="B204" s="173" t="str">
        <f t="shared" si="16"/>
        <v>TV Conecta + HD Negocio + Telefonía Negocio + 100 Megas Simetrico NegocioSTAR + Internet fijo + Telefonía fija</v>
      </c>
      <c r="C204" s="72">
        <f t="shared" si="21"/>
        <v>78</v>
      </c>
      <c r="D204" s="77" t="str">
        <f t="shared" si="15"/>
        <v>TV Conecta + HD Negocio + Telefonía Negocio + 100 Megas Simetrico Negocio</v>
      </c>
      <c r="F204" s="86" t="str">
        <f>IFERROR(VLOOKUP($D204,Base!$B$7:$L$119,3,FALSE),"")</f>
        <v>STAR + Internet fijo + Telefonía fija</v>
      </c>
      <c r="G204" s="86" t="str">
        <f>IFERROR(VLOOKUP($D204,Base!$B$7:$L$119,2,FALSE),"")</f>
        <v>Negocio</v>
      </c>
      <c r="H204" s="86">
        <f t="shared" si="17"/>
        <v>138</v>
      </c>
      <c r="I204" s="108">
        <f>INDEX(vector.implicit.prices.STAR.before.discount,MATCH('Cálculos auxiliares'!D204,vector.plans.names,0))</f>
        <v>289.05214383162104</v>
      </c>
      <c r="J204" s="240"/>
      <c r="K204" s="195">
        <f t="shared" si="18"/>
        <v>0</v>
      </c>
      <c r="M204" s="166" t="e">
        <f t="shared" si="19"/>
        <v>#VALUE!</v>
      </c>
      <c r="Q204" s="72">
        <f t="shared" si="20"/>
        <v>0</v>
      </c>
      <c r="R204" s="72">
        <f t="shared" si="20"/>
        <v>0</v>
      </c>
      <c r="S204" s="72">
        <f t="shared" si="14"/>
        <v>1</v>
      </c>
      <c r="T204" s="72">
        <f t="shared" si="14"/>
        <v>0</v>
      </c>
      <c r="U204" s="72">
        <f t="shared" si="12"/>
        <v>0</v>
      </c>
      <c r="V204" s="72">
        <f t="shared" si="12"/>
        <v>0</v>
      </c>
      <c r="W204" s="72">
        <f t="shared" si="12"/>
        <v>0</v>
      </c>
      <c r="X204" s="72">
        <f t="shared" si="12"/>
        <v>0</v>
      </c>
    </row>
    <row r="205" spans="2:24" x14ac:dyDescent="0.2">
      <c r="B205" s="173" t="str">
        <f t="shared" si="16"/>
        <v>TV Conecta + HD Negocio + Telefonía Negocio + 1000 Megas NegocioSTAR + Internet fijo + Telefonía fija</v>
      </c>
      <c r="C205" s="72">
        <f t="shared" si="21"/>
        <v>79</v>
      </c>
      <c r="D205" s="77" t="str">
        <f t="shared" si="15"/>
        <v>TV Conecta + HD Negocio + Telefonía Negocio + 1000 Megas Negocio</v>
      </c>
      <c r="F205" s="86" t="str">
        <f>IFERROR(VLOOKUP($D205,Base!$B$7:$L$119,3,FALSE),"")</f>
        <v>STAR + Internet fijo + Telefonía fija</v>
      </c>
      <c r="G205" s="86" t="str">
        <f>IFERROR(VLOOKUP($D205,Base!$B$7:$L$119,2,FALSE),"")</f>
        <v>Negocio</v>
      </c>
      <c r="H205" s="86">
        <f t="shared" si="17"/>
        <v>138</v>
      </c>
      <c r="I205" s="108">
        <f>INDEX(vector.implicit.prices.STAR.before.discount,MATCH('Cálculos auxiliares'!D205,vector.plans.names,0))</f>
        <v>289.05214383162104</v>
      </c>
      <c r="J205" s="240"/>
      <c r="K205" s="195">
        <f t="shared" si="18"/>
        <v>0</v>
      </c>
      <c r="M205" s="166" t="e">
        <f t="shared" si="19"/>
        <v>#VALUE!</v>
      </c>
      <c r="Q205" s="72">
        <f t="shared" si="20"/>
        <v>0</v>
      </c>
      <c r="R205" s="72">
        <f t="shared" si="20"/>
        <v>0</v>
      </c>
      <c r="S205" s="72">
        <f t="shared" si="14"/>
        <v>1</v>
      </c>
      <c r="T205" s="72">
        <f t="shared" si="14"/>
        <v>0</v>
      </c>
      <c r="U205" s="72">
        <f t="shared" si="12"/>
        <v>0</v>
      </c>
      <c r="V205" s="72">
        <f t="shared" si="12"/>
        <v>0</v>
      </c>
      <c r="W205" s="72">
        <f t="shared" si="12"/>
        <v>0</v>
      </c>
      <c r="X205" s="72">
        <f t="shared" si="12"/>
        <v>0</v>
      </c>
    </row>
    <row r="206" spans="2:24" x14ac:dyDescent="0.2">
      <c r="B206" s="173" t="str">
        <f t="shared" si="16"/>
        <v>TV Conecta + HD Negocio + Telefonía Negocio + 250 Megas NegocioSTAR + Internet fijo + Telefonía fija</v>
      </c>
      <c r="C206" s="72">
        <f t="shared" si="21"/>
        <v>80</v>
      </c>
      <c r="D206" s="77" t="str">
        <f t="shared" si="15"/>
        <v>TV Conecta + HD Negocio + Telefonía Negocio + 250 Megas Negocio</v>
      </c>
      <c r="F206" s="86" t="str">
        <f>IFERROR(VLOOKUP($D206,Base!$B$7:$L$119,3,FALSE),"")</f>
        <v>STAR + Internet fijo + Telefonía fija</v>
      </c>
      <c r="G206" s="86" t="str">
        <f>IFERROR(VLOOKUP($D206,Base!$B$7:$L$119,2,FALSE),"")</f>
        <v>Negocio</v>
      </c>
      <c r="H206" s="86">
        <f t="shared" si="17"/>
        <v>138</v>
      </c>
      <c r="I206" s="108">
        <f>INDEX(vector.implicit.prices.STAR.before.discount,MATCH('Cálculos auxiliares'!D206,vector.plans.names,0))</f>
        <v>289.05214383162104</v>
      </c>
      <c r="J206" s="240"/>
      <c r="K206" s="195">
        <f t="shared" si="18"/>
        <v>0</v>
      </c>
      <c r="M206" s="166" t="e">
        <f t="shared" si="19"/>
        <v>#VALUE!</v>
      </c>
      <c r="Q206" s="72">
        <f t="shared" si="20"/>
        <v>0</v>
      </c>
      <c r="R206" s="72">
        <f t="shared" si="20"/>
        <v>0</v>
      </c>
      <c r="S206" s="72">
        <f t="shared" si="14"/>
        <v>1</v>
      </c>
      <c r="T206" s="72">
        <f t="shared" si="14"/>
        <v>0</v>
      </c>
      <c r="U206" s="72">
        <f t="shared" si="12"/>
        <v>0</v>
      </c>
      <c r="V206" s="72">
        <f t="shared" si="12"/>
        <v>0</v>
      </c>
      <c r="W206" s="72">
        <f t="shared" si="12"/>
        <v>0</v>
      </c>
      <c r="X206" s="72">
        <f t="shared" ref="X206:X240" si="22">IF(X$126=$H206,1,0)</f>
        <v>0</v>
      </c>
    </row>
    <row r="207" spans="2:24" x14ac:dyDescent="0.2">
      <c r="B207" s="173" t="str">
        <f t="shared" si="16"/>
        <v>TV Conecta + HD Negocio + Telefonía Negocio + 250 Megas Simetrico NegocioSTAR + Internet fijo + Telefonía fija</v>
      </c>
      <c r="C207" s="72">
        <f t="shared" si="21"/>
        <v>81</v>
      </c>
      <c r="D207" s="77" t="str">
        <f t="shared" si="15"/>
        <v>TV Conecta + HD Negocio + Telefonía Negocio + 250 Megas Simetrico Negocio</v>
      </c>
      <c r="F207" s="86" t="str">
        <f>IFERROR(VLOOKUP($D207,Base!$B$7:$L$119,3,FALSE),"")</f>
        <v>STAR + Internet fijo + Telefonía fija</v>
      </c>
      <c r="G207" s="86" t="str">
        <f>IFERROR(VLOOKUP($D207,Base!$B$7:$L$119,2,FALSE),"")</f>
        <v>Negocio</v>
      </c>
      <c r="H207" s="86">
        <f t="shared" si="17"/>
        <v>138</v>
      </c>
      <c r="I207" s="108">
        <f>INDEX(vector.implicit.prices.STAR.before.discount,MATCH('Cálculos auxiliares'!D207,vector.plans.names,0))</f>
        <v>289.05214383162104</v>
      </c>
      <c r="J207" s="240"/>
      <c r="K207" s="195">
        <f t="shared" si="18"/>
        <v>0</v>
      </c>
      <c r="M207" s="166" t="e">
        <f t="shared" si="19"/>
        <v>#VALUE!</v>
      </c>
      <c r="Q207" s="72">
        <f t="shared" si="20"/>
        <v>0</v>
      </c>
      <c r="R207" s="72">
        <f t="shared" si="20"/>
        <v>0</v>
      </c>
      <c r="S207" s="72">
        <f t="shared" si="14"/>
        <v>1</v>
      </c>
      <c r="T207" s="72">
        <f t="shared" si="14"/>
        <v>0</v>
      </c>
      <c r="U207" s="72">
        <f t="shared" si="14"/>
        <v>0</v>
      </c>
      <c r="V207" s="72">
        <f t="shared" si="14"/>
        <v>0</v>
      </c>
      <c r="W207" s="72">
        <f t="shared" si="14"/>
        <v>0</v>
      </c>
      <c r="X207" s="72">
        <f t="shared" si="22"/>
        <v>0</v>
      </c>
    </row>
    <row r="208" spans="2:24" x14ac:dyDescent="0.2">
      <c r="B208" s="173" t="str">
        <f t="shared" si="16"/>
        <v>TV Conecta + HD Negocio + Telefonía Negocio + 500 Megas NegocioSTAR + Internet fijo + Telefonía fija</v>
      </c>
      <c r="C208" s="72">
        <f t="shared" si="21"/>
        <v>82</v>
      </c>
      <c r="D208" s="77" t="str">
        <f t="shared" si="15"/>
        <v>TV Conecta + HD Negocio + Telefonía Negocio + 500 Megas Negocio</v>
      </c>
      <c r="F208" s="86" t="str">
        <f>IFERROR(VLOOKUP($D208,Base!$B$7:$L$119,3,FALSE),"")</f>
        <v>STAR + Internet fijo + Telefonía fija</v>
      </c>
      <c r="G208" s="86" t="str">
        <f>IFERROR(VLOOKUP($D208,Base!$B$7:$L$119,2,FALSE),"")</f>
        <v>Negocio</v>
      </c>
      <c r="H208" s="86">
        <f t="shared" si="17"/>
        <v>138</v>
      </c>
      <c r="I208" s="108">
        <f>INDEX(vector.implicit.prices.STAR.before.discount,MATCH('Cálculos auxiliares'!D208,vector.plans.names,0))</f>
        <v>289.05214383162104</v>
      </c>
      <c r="J208" s="240"/>
      <c r="K208" s="195">
        <f t="shared" si="18"/>
        <v>0</v>
      </c>
      <c r="M208" s="166" t="e">
        <f t="shared" si="19"/>
        <v>#VALUE!</v>
      </c>
      <c r="Q208" s="72">
        <f t="shared" si="20"/>
        <v>0</v>
      </c>
      <c r="R208" s="72">
        <f t="shared" si="20"/>
        <v>0</v>
      </c>
      <c r="S208" s="72">
        <f t="shared" si="14"/>
        <v>1</v>
      </c>
      <c r="T208" s="72">
        <f t="shared" si="14"/>
        <v>0</v>
      </c>
      <c r="U208" s="72">
        <f t="shared" si="14"/>
        <v>0</v>
      </c>
      <c r="V208" s="72">
        <f t="shared" si="14"/>
        <v>0</v>
      </c>
      <c r="W208" s="72">
        <f t="shared" si="14"/>
        <v>0</v>
      </c>
      <c r="X208" s="72">
        <f t="shared" si="22"/>
        <v>0</v>
      </c>
    </row>
    <row r="209" spans="2:24" x14ac:dyDescent="0.2">
      <c r="B209" s="173" t="str">
        <f t="shared" si="16"/>
        <v>TV Conecta + HD Negocio + Telefonía Negocio + 500 Megas Simetrico NegocioSTAR + Internet fijo + Telefonía fija</v>
      </c>
      <c r="C209" s="72">
        <f t="shared" si="21"/>
        <v>83</v>
      </c>
      <c r="D209" s="77" t="str">
        <f t="shared" si="15"/>
        <v>TV Conecta + HD Negocio + Telefonía Negocio + 500 Megas Simetrico Negocio</v>
      </c>
      <c r="F209" s="86" t="str">
        <f>IFERROR(VLOOKUP($D209,Base!$B$7:$L$119,3,FALSE),"")</f>
        <v>STAR + Internet fijo + Telefonía fija</v>
      </c>
      <c r="G209" s="86" t="str">
        <f>IFERROR(VLOOKUP($D209,Base!$B$7:$L$119,2,FALSE),"")</f>
        <v>Negocio</v>
      </c>
      <c r="H209" s="86">
        <f t="shared" si="17"/>
        <v>138</v>
      </c>
      <c r="I209" s="108">
        <f>INDEX(vector.implicit.prices.STAR.before.discount,MATCH('Cálculos auxiliares'!D209,vector.plans.names,0))</f>
        <v>289.05214383162104</v>
      </c>
      <c r="J209" s="240"/>
      <c r="K209" s="195">
        <f t="shared" si="18"/>
        <v>0</v>
      </c>
      <c r="M209" s="166" t="e">
        <f t="shared" si="19"/>
        <v>#VALUE!</v>
      </c>
      <c r="Q209" s="72">
        <f t="shared" si="20"/>
        <v>0</v>
      </c>
      <c r="R209" s="72">
        <f t="shared" si="20"/>
        <v>0</v>
      </c>
      <c r="S209" s="72">
        <f t="shared" si="14"/>
        <v>1</v>
      </c>
      <c r="T209" s="72">
        <f t="shared" si="14"/>
        <v>0</v>
      </c>
      <c r="U209" s="72">
        <f t="shared" si="14"/>
        <v>0</v>
      </c>
      <c r="V209" s="72">
        <f t="shared" si="14"/>
        <v>0</v>
      </c>
      <c r="W209" s="72">
        <f t="shared" si="14"/>
        <v>0</v>
      </c>
      <c r="X209" s="72">
        <f t="shared" si="22"/>
        <v>0</v>
      </c>
    </row>
    <row r="210" spans="2:24" x14ac:dyDescent="0.2">
      <c r="B210" s="173" t="str">
        <f t="shared" si="16"/>
        <v>TV Conecta + HD Negocio + Telefonía Negocio + 60 Megas NegocioSTAR + Internet fijo + Telefonía fija</v>
      </c>
      <c r="C210" s="72">
        <f t="shared" si="21"/>
        <v>84</v>
      </c>
      <c r="D210" s="77" t="str">
        <f t="shared" si="15"/>
        <v>TV Conecta + HD Negocio + Telefonía Negocio + 60 Megas Negocio</v>
      </c>
      <c r="F210" s="86" t="str">
        <f>IFERROR(VLOOKUP($D210,Base!$B$7:$L$119,3,FALSE),"")</f>
        <v>STAR + Internet fijo + Telefonía fija</v>
      </c>
      <c r="G210" s="86" t="str">
        <f>IFERROR(VLOOKUP($D210,Base!$B$7:$L$119,2,FALSE),"")</f>
        <v>Negocio</v>
      </c>
      <c r="H210" s="86">
        <f t="shared" si="17"/>
        <v>144</v>
      </c>
      <c r="I210" s="108">
        <f>INDEX(vector.implicit.prices.STAR.before.discount,MATCH('Cálculos auxiliares'!D210,vector.plans.names,0))</f>
        <v>293.70751961459428</v>
      </c>
      <c r="J210" s="240"/>
      <c r="K210" s="195">
        <f t="shared" si="18"/>
        <v>0</v>
      </c>
      <c r="M210" s="166" t="e">
        <f t="shared" si="19"/>
        <v>#VALUE!</v>
      </c>
      <c r="Q210" s="72">
        <f t="shared" si="20"/>
        <v>0</v>
      </c>
      <c r="R210" s="72">
        <f t="shared" si="20"/>
        <v>0</v>
      </c>
      <c r="S210" s="72">
        <f t="shared" si="14"/>
        <v>0</v>
      </c>
      <c r="T210" s="72">
        <f t="shared" si="14"/>
        <v>1</v>
      </c>
      <c r="U210" s="72">
        <f t="shared" si="14"/>
        <v>0</v>
      </c>
      <c r="V210" s="72">
        <f t="shared" si="14"/>
        <v>0</v>
      </c>
      <c r="W210" s="72">
        <f t="shared" si="14"/>
        <v>0</v>
      </c>
      <c r="X210" s="72">
        <f t="shared" si="22"/>
        <v>0</v>
      </c>
    </row>
    <row r="211" spans="2:24" x14ac:dyDescent="0.2">
      <c r="B211" s="173" t="str">
        <f t="shared" si="16"/>
        <v>TV Conecta + HD Negocio + Telefonía Negocio + 60 Megas Simetrico NegocioSTAR + Internet fijo + Telefonía fija</v>
      </c>
      <c r="C211" s="72">
        <f t="shared" si="21"/>
        <v>85</v>
      </c>
      <c r="D211" s="77" t="str">
        <f t="shared" si="15"/>
        <v>TV Conecta + HD Negocio + Telefonía Negocio + 60 Megas Simetrico Negocio</v>
      </c>
      <c r="F211" s="86" t="str">
        <f>IFERROR(VLOOKUP($D211,Base!$B$7:$L$119,3,FALSE),"")</f>
        <v>STAR + Internet fijo + Telefonía fija</v>
      </c>
      <c r="G211" s="86" t="str">
        <f>IFERROR(VLOOKUP($D211,Base!$B$7:$L$119,2,FALSE),"")</f>
        <v>Negocio</v>
      </c>
      <c r="H211" s="86">
        <f t="shared" si="17"/>
        <v>144</v>
      </c>
      <c r="I211" s="108">
        <f>INDEX(vector.implicit.prices.STAR.before.discount,MATCH('Cálculos auxiliares'!D211,vector.plans.names,0))</f>
        <v>293.70751961459428</v>
      </c>
      <c r="J211" s="240"/>
      <c r="K211" s="195">
        <f t="shared" si="18"/>
        <v>0</v>
      </c>
      <c r="M211" s="166" t="e">
        <f t="shared" si="19"/>
        <v>#VALUE!</v>
      </c>
      <c r="Q211" s="72">
        <f t="shared" si="20"/>
        <v>0</v>
      </c>
      <c r="R211" s="72">
        <f t="shared" si="20"/>
        <v>0</v>
      </c>
      <c r="S211" s="72">
        <f t="shared" si="14"/>
        <v>0</v>
      </c>
      <c r="T211" s="72">
        <f t="shared" si="14"/>
        <v>1</v>
      </c>
      <c r="U211" s="72">
        <f t="shared" si="14"/>
        <v>0</v>
      </c>
      <c r="V211" s="72">
        <f t="shared" si="14"/>
        <v>0</v>
      </c>
      <c r="W211" s="72">
        <f t="shared" si="14"/>
        <v>0</v>
      </c>
      <c r="X211" s="72">
        <f t="shared" si="22"/>
        <v>0</v>
      </c>
    </row>
    <row r="212" spans="2:24" x14ac:dyDescent="0.2">
      <c r="B212" s="173" t="str">
        <f t="shared" si="16"/>
        <v>TV Conecta Negocio + 100 Megas NegocioSTAR + Internet fijo</v>
      </c>
      <c r="C212" s="72">
        <f t="shared" si="21"/>
        <v>86</v>
      </c>
      <c r="D212" s="77" t="str">
        <f t="shared" si="15"/>
        <v>TV Conecta Negocio + 100 Megas Negocio</v>
      </c>
      <c r="F212" s="86" t="str">
        <f>IFERROR(VLOOKUP($D212,Base!$B$7:$L$119,3,FALSE),"")</f>
        <v>STAR + Internet fijo</v>
      </c>
      <c r="G212" s="86" t="str">
        <f>IFERROR(VLOOKUP($D212,Base!$B$7:$L$119,2,FALSE),"")</f>
        <v>Negocio</v>
      </c>
      <c r="H212" s="86">
        <f t="shared" si="17"/>
        <v>94</v>
      </c>
      <c r="I212" s="108">
        <f>INDEX(vector.implicit.prices.STAR.before.discount,MATCH('Cálculos auxiliares'!D212,vector.plans.names,0))</f>
        <v>250.25108804820906</v>
      </c>
      <c r="J212" s="240"/>
      <c r="K212" s="195">
        <f t="shared" si="18"/>
        <v>113.7444</v>
      </c>
      <c r="M212" s="166" t="e">
        <f t="shared" si="19"/>
        <v>#VALUE!</v>
      </c>
      <c r="Q212" s="72">
        <f t="shared" si="20"/>
        <v>1</v>
      </c>
      <c r="R212" s="72">
        <f t="shared" si="20"/>
        <v>0</v>
      </c>
      <c r="S212" s="72">
        <f t="shared" si="14"/>
        <v>0</v>
      </c>
      <c r="T212" s="72">
        <f t="shared" si="14"/>
        <v>0</v>
      </c>
      <c r="U212" s="72">
        <f t="shared" si="14"/>
        <v>0</v>
      </c>
      <c r="V212" s="72">
        <f t="shared" si="14"/>
        <v>0</v>
      </c>
      <c r="W212" s="72">
        <f t="shared" si="14"/>
        <v>0</v>
      </c>
      <c r="X212" s="72">
        <f t="shared" si="22"/>
        <v>0</v>
      </c>
    </row>
    <row r="213" spans="2:24" x14ac:dyDescent="0.2">
      <c r="B213" s="173" t="str">
        <f t="shared" si="16"/>
        <v>TV Conecta Negocio + 100 Megas Simetrico NegocioSTAR + Internet fijo</v>
      </c>
      <c r="C213" s="72">
        <f t="shared" si="21"/>
        <v>87</v>
      </c>
      <c r="D213" s="77" t="str">
        <f t="shared" si="15"/>
        <v>TV Conecta Negocio + 100 Megas Simetrico Negocio</v>
      </c>
      <c r="F213" s="86" t="str">
        <f>IFERROR(VLOOKUP($D213,Base!$B$7:$L$119,3,FALSE),"")</f>
        <v>STAR + Internet fijo</v>
      </c>
      <c r="G213" s="86" t="str">
        <f>IFERROR(VLOOKUP($D213,Base!$B$7:$L$119,2,FALSE),"")</f>
        <v>Negocio</v>
      </c>
      <c r="H213" s="86">
        <f t="shared" si="17"/>
        <v>94</v>
      </c>
      <c r="I213" s="108">
        <f>INDEX(vector.implicit.prices.STAR.before.discount,MATCH('Cálculos auxiliares'!D213,vector.plans.names,0))</f>
        <v>250.25108804820906</v>
      </c>
      <c r="J213" s="240"/>
      <c r="K213" s="195">
        <f t="shared" si="18"/>
        <v>0</v>
      </c>
      <c r="M213" s="166" t="e">
        <f t="shared" si="19"/>
        <v>#VALUE!</v>
      </c>
      <c r="Q213" s="72">
        <f t="shared" si="20"/>
        <v>1</v>
      </c>
      <c r="R213" s="72">
        <f t="shared" si="20"/>
        <v>0</v>
      </c>
      <c r="S213" s="72">
        <f t="shared" si="14"/>
        <v>0</v>
      </c>
      <c r="T213" s="72">
        <f t="shared" si="14"/>
        <v>0</v>
      </c>
      <c r="U213" s="72">
        <f t="shared" si="14"/>
        <v>0</v>
      </c>
      <c r="V213" s="72">
        <f t="shared" si="14"/>
        <v>0</v>
      </c>
      <c r="W213" s="72">
        <f t="shared" si="14"/>
        <v>0</v>
      </c>
      <c r="X213" s="72">
        <f t="shared" si="22"/>
        <v>0</v>
      </c>
    </row>
    <row r="214" spans="2:24" x14ac:dyDescent="0.2">
      <c r="B214" s="173" t="str">
        <f t="shared" si="16"/>
        <v>TV Conecta Negocio + 1000 Megas NegocioSTAR + Internet fijo</v>
      </c>
      <c r="C214" s="72">
        <f t="shared" si="21"/>
        <v>88</v>
      </c>
      <c r="D214" s="77" t="str">
        <f t="shared" si="15"/>
        <v>TV Conecta Negocio + 1000 Megas Negocio</v>
      </c>
      <c r="F214" s="86" t="str">
        <f>IFERROR(VLOOKUP($D214,Base!$B$7:$L$119,3,FALSE),"")</f>
        <v>STAR + Internet fijo</v>
      </c>
      <c r="G214" s="86" t="str">
        <f>IFERROR(VLOOKUP($D214,Base!$B$7:$L$119,2,FALSE),"")</f>
        <v>Negocio</v>
      </c>
      <c r="H214" s="86">
        <f t="shared" si="17"/>
        <v>94</v>
      </c>
      <c r="I214" s="108">
        <f>INDEX(vector.implicit.prices.STAR.before.discount,MATCH('Cálculos auxiliares'!D214,vector.plans.names,0))</f>
        <v>250.25108804820906</v>
      </c>
      <c r="J214" s="240"/>
      <c r="K214" s="195">
        <f t="shared" si="18"/>
        <v>56.872199999999999</v>
      </c>
      <c r="M214" s="166" t="e">
        <f t="shared" si="19"/>
        <v>#VALUE!</v>
      </c>
      <c r="Q214" s="72">
        <f t="shared" si="20"/>
        <v>1</v>
      </c>
      <c r="R214" s="72">
        <f t="shared" si="20"/>
        <v>0</v>
      </c>
      <c r="S214" s="72">
        <f t="shared" si="14"/>
        <v>0</v>
      </c>
      <c r="T214" s="72">
        <f t="shared" si="14"/>
        <v>0</v>
      </c>
      <c r="U214" s="72">
        <f t="shared" si="14"/>
        <v>0</v>
      </c>
      <c r="V214" s="72">
        <f t="shared" si="14"/>
        <v>0</v>
      </c>
      <c r="W214" s="72">
        <f t="shared" si="14"/>
        <v>0</v>
      </c>
      <c r="X214" s="72">
        <f t="shared" si="22"/>
        <v>0</v>
      </c>
    </row>
    <row r="215" spans="2:24" x14ac:dyDescent="0.2">
      <c r="B215" s="173" t="str">
        <f t="shared" si="16"/>
        <v>TV Conecta Negocio + 250 Megas NegocioSTAR + Internet fijo</v>
      </c>
      <c r="C215" s="72">
        <f t="shared" si="21"/>
        <v>89</v>
      </c>
      <c r="D215" s="77" t="str">
        <f t="shared" si="15"/>
        <v>TV Conecta Negocio + 250 Megas Negocio</v>
      </c>
      <c r="F215" s="86" t="str">
        <f>IFERROR(VLOOKUP($D215,Base!$B$7:$L$119,3,FALSE),"")</f>
        <v>STAR + Internet fijo</v>
      </c>
      <c r="G215" s="86" t="str">
        <f>IFERROR(VLOOKUP($D215,Base!$B$7:$L$119,2,FALSE),"")</f>
        <v>Negocio</v>
      </c>
      <c r="H215" s="86">
        <f t="shared" si="17"/>
        <v>94</v>
      </c>
      <c r="I215" s="108">
        <f>INDEX(vector.implicit.prices.STAR.before.discount,MATCH('Cálculos auxiliares'!D215,vector.plans.names,0))</f>
        <v>250.25108804820906</v>
      </c>
      <c r="J215" s="240"/>
      <c r="K215" s="195">
        <f t="shared" si="18"/>
        <v>1080.5717999999999</v>
      </c>
      <c r="M215" s="166" t="e">
        <f t="shared" si="19"/>
        <v>#VALUE!</v>
      </c>
      <c r="Q215" s="72">
        <f t="shared" si="20"/>
        <v>1</v>
      </c>
      <c r="R215" s="72">
        <f t="shared" si="20"/>
        <v>0</v>
      </c>
      <c r="S215" s="72">
        <f t="shared" si="14"/>
        <v>0</v>
      </c>
      <c r="T215" s="72">
        <f t="shared" si="14"/>
        <v>0</v>
      </c>
      <c r="U215" s="72">
        <f t="shared" si="14"/>
        <v>0</v>
      </c>
      <c r="V215" s="72">
        <f t="shared" si="14"/>
        <v>0</v>
      </c>
      <c r="W215" s="72">
        <f t="shared" si="14"/>
        <v>0</v>
      </c>
      <c r="X215" s="72">
        <f t="shared" si="22"/>
        <v>0</v>
      </c>
    </row>
    <row r="216" spans="2:24" x14ac:dyDescent="0.2">
      <c r="B216" s="173" t="str">
        <f t="shared" si="16"/>
        <v>TV Conecta Negocio + 250 Megas Simetrico NegocioSTAR + Internet fijo</v>
      </c>
      <c r="C216" s="72">
        <f t="shared" si="21"/>
        <v>90</v>
      </c>
      <c r="D216" s="77" t="str">
        <f t="shared" si="15"/>
        <v>TV Conecta Negocio + 250 Megas Simetrico Negocio</v>
      </c>
      <c r="F216" s="86" t="str">
        <f>IFERROR(VLOOKUP($D216,Base!$B$7:$L$119,3,FALSE),"")</f>
        <v>STAR + Internet fijo</v>
      </c>
      <c r="G216" s="86" t="str">
        <f>IFERROR(VLOOKUP($D216,Base!$B$7:$L$119,2,FALSE),"")</f>
        <v>Negocio</v>
      </c>
      <c r="H216" s="86">
        <f t="shared" si="17"/>
        <v>94</v>
      </c>
      <c r="I216" s="108">
        <f>INDEX(vector.implicit.prices.STAR.before.discount,MATCH('Cálculos auxiliares'!D216,vector.plans.names,0))</f>
        <v>250.25108804820906</v>
      </c>
      <c r="J216" s="240"/>
      <c r="K216" s="195">
        <f t="shared" si="18"/>
        <v>0</v>
      </c>
      <c r="M216" s="166" t="e">
        <f t="shared" si="19"/>
        <v>#VALUE!</v>
      </c>
      <c r="Q216" s="72">
        <f t="shared" si="20"/>
        <v>1</v>
      </c>
      <c r="R216" s="72">
        <f t="shared" si="20"/>
        <v>0</v>
      </c>
      <c r="S216" s="72">
        <f t="shared" si="14"/>
        <v>0</v>
      </c>
      <c r="T216" s="72">
        <f t="shared" si="14"/>
        <v>0</v>
      </c>
      <c r="U216" s="72">
        <f t="shared" si="14"/>
        <v>0</v>
      </c>
      <c r="V216" s="72">
        <f t="shared" si="14"/>
        <v>0</v>
      </c>
      <c r="W216" s="72">
        <f t="shared" si="14"/>
        <v>0</v>
      </c>
      <c r="X216" s="72">
        <f t="shared" si="22"/>
        <v>0</v>
      </c>
    </row>
    <row r="217" spans="2:24" x14ac:dyDescent="0.2">
      <c r="B217" s="173" t="str">
        <f t="shared" si="16"/>
        <v>TV Conecta Negocio + 500 Megas NegocioSTAR + Internet fijo</v>
      </c>
      <c r="C217" s="72">
        <f t="shared" si="21"/>
        <v>91</v>
      </c>
      <c r="D217" s="77" t="str">
        <f t="shared" si="15"/>
        <v>TV Conecta Negocio + 500 Megas Negocio</v>
      </c>
      <c r="F217" s="86" t="str">
        <f>IFERROR(VLOOKUP($D217,Base!$B$7:$L$119,3,FALSE),"")</f>
        <v>STAR + Internet fijo</v>
      </c>
      <c r="G217" s="86" t="str">
        <f>IFERROR(VLOOKUP($D217,Base!$B$7:$L$119,2,FALSE),"")</f>
        <v>Negocio</v>
      </c>
      <c r="H217" s="86">
        <f t="shared" si="17"/>
        <v>94</v>
      </c>
      <c r="I217" s="108">
        <f>INDEX(vector.implicit.prices.STAR.before.discount,MATCH('Cálculos auxiliares'!D217,vector.plans.names,0))</f>
        <v>250.25108804820906</v>
      </c>
      <c r="J217" s="240"/>
      <c r="K217" s="195">
        <f t="shared" si="18"/>
        <v>56.872199999999999</v>
      </c>
      <c r="M217" s="166" t="e">
        <f t="shared" si="19"/>
        <v>#VALUE!</v>
      </c>
      <c r="Q217" s="72">
        <f t="shared" si="20"/>
        <v>1</v>
      </c>
      <c r="R217" s="72">
        <f t="shared" si="20"/>
        <v>0</v>
      </c>
      <c r="S217" s="72">
        <f t="shared" si="14"/>
        <v>0</v>
      </c>
      <c r="T217" s="72">
        <f t="shared" si="14"/>
        <v>0</v>
      </c>
      <c r="U217" s="72">
        <f t="shared" si="14"/>
        <v>0</v>
      </c>
      <c r="V217" s="72">
        <f t="shared" si="14"/>
        <v>0</v>
      </c>
      <c r="W217" s="72">
        <f t="shared" si="14"/>
        <v>0</v>
      </c>
      <c r="X217" s="72">
        <f t="shared" si="22"/>
        <v>0</v>
      </c>
    </row>
    <row r="218" spans="2:24" x14ac:dyDescent="0.2">
      <c r="B218" s="173" t="str">
        <f t="shared" si="16"/>
        <v>TV Conecta Negocio + 500 Megas Simetrico NegocioSTAR + Internet fijo</v>
      </c>
      <c r="C218" s="72">
        <f t="shared" si="21"/>
        <v>92</v>
      </c>
      <c r="D218" s="77" t="str">
        <f t="shared" si="15"/>
        <v>TV Conecta Negocio + 500 Megas Simetrico Negocio</v>
      </c>
      <c r="F218" s="86" t="str">
        <f>IFERROR(VLOOKUP($D218,Base!$B$7:$L$119,3,FALSE),"")</f>
        <v>STAR + Internet fijo</v>
      </c>
      <c r="G218" s="86" t="str">
        <f>IFERROR(VLOOKUP($D218,Base!$B$7:$L$119,2,FALSE),"")</f>
        <v>Negocio</v>
      </c>
      <c r="H218" s="86">
        <f t="shared" si="17"/>
        <v>94</v>
      </c>
      <c r="I218" s="108">
        <f>INDEX(vector.implicit.prices.STAR.before.discount,MATCH('Cálculos auxiliares'!D218,vector.plans.names,0))</f>
        <v>250.25108804820906</v>
      </c>
      <c r="J218" s="240"/>
      <c r="K218" s="195">
        <f t="shared" si="18"/>
        <v>0</v>
      </c>
      <c r="M218" s="166" t="e">
        <f t="shared" si="19"/>
        <v>#VALUE!</v>
      </c>
      <c r="Q218" s="72">
        <f t="shared" si="20"/>
        <v>1</v>
      </c>
      <c r="R218" s="72">
        <f t="shared" si="20"/>
        <v>0</v>
      </c>
      <c r="S218" s="72">
        <f t="shared" si="14"/>
        <v>0</v>
      </c>
      <c r="T218" s="72">
        <f t="shared" si="14"/>
        <v>0</v>
      </c>
      <c r="U218" s="72">
        <f t="shared" si="14"/>
        <v>0</v>
      </c>
      <c r="V218" s="72">
        <f t="shared" si="14"/>
        <v>0</v>
      </c>
      <c r="W218" s="72">
        <f t="shared" si="14"/>
        <v>0</v>
      </c>
      <c r="X218" s="72">
        <f t="shared" si="22"/>
        <v>0</v>
      </c>
    </row>
    <row r="219" spans="2:24" x14ac:dyDescent="0.2">
      <c r="B219" s="173" t="str">
        <f t="shared" si="16"/>
        <v>TV Conecta Negocio + 60 Megas NegocioSTAR + Internet fijo</v>
      </c>
      <c r="C219" s="72">
        <f t="shared" si="21"/>
        <v>93</v>
      </c>
      <c r="D219" s="77" t="str">
        <f t="shared" si="15"/>
        <v>TV Conecta Negocio + 60 Megas Negocio</v>
      </c>
      <c r="F219" s="86" t="str">
        <f>IFERROR(VLOOKUP($D219,Base!$B$7:$L$119,3,FALSE),"")</f>
        <v>STAR + Internet fijo</v>
      </c>
      <c r="G219" s="86" t="str">
        <f>IFERROR(VLOOKUP($D219,Base!$B$7:$L$119,2,FALSE),"")</f>
        <v>Negocio</v>
      </c>
      <c r="H219" s="86">
        <f t="shared" si="17"/>
        <v>104</v>
      </c>
      <c r="I219" s="108">
        <f>INDEX(vector.implicit.prices.STAR.before.discount,MATCH('Cálculos auxiliares'!D219,vector.plans.names,0))</f>
        <v>259.93129450590209</v>
      </c>
      <c r="J219" s="240"/>
      <c r="K219" s="195">
        <f t="shared" si="18"/>
        <v>3981.0540000000001</v>
      </c>
      <c r="M219" s="166" t="e">
        <f t="shared" si="19"/>
        <v>#VALUE!</v>
      </c>
      <c r="Q219" s="72">
        <f t="shared" si="20"/>
        <v>0</v>
      </c>
      <c r="R219" s="72">
        <f t="shared" si="20"/>
        <v>1</v>
      </c>
      <c r="S219" s="72">
        <f t="shared" si="14"/>
        <v>0</v>
      </c>
      <c r="T219" s="72">
        <f t="shared" si="14"/>
        <v>0</v>
      </c>
      <c r="U219" s="72">
        <f t="shared" si="14"/>
        <v>0</v>
      </c>
      <c r="V219" s="72">
        <f t="shared" si="14"/>
        <v>0</v>
      </c>
      <c r="W219" s="72">
        <f t="shared" si="14"/>
        <v>0</v>
      </c>
      <c r="X219" s="72">
        <f t="shared" si="22"/>
        <v>0</v>
      </c>
    </row>
    <row r="220" spans="2:24" x14ac:dyDescent="0.2">
      <c r="B220" s="173" t="str">
        <f t="shared" si="16"/>
        <v>TV Conecta Negocio + 60 Megas Simetrico NegocioSTAR + Internet fijo</v>
      </c>
      <c r="C220" s="72">
        <f t="shared" si="21"/>
        <v>94</v>
      </c>
      <c r="D220" s="77" t="str">
        <f t="shared" si="15"/>
        <v>TV Conecta Negocio + 60 Megas Simetrico Negocio</v>
      </c>
      <c r="F220" s="86" t="str">
        <f>IFERROR(VLOOKUP($D220,Base!$B$7:$L$119,3,FALSE),"")</f>
        <v>STAR + Internet fijo</v>
      </c>
      <c r="G220" s="86" t="str">
        <f>IFERROR(VLOOKUP($D220,Base!$B$7:$L$119,2,FALSE),"")</f>
        <v>Negocio</v>
      </c>
      <c r="H220" s="86">
        <f t="shared" si="17"/>
        <v>104</v>
      </c>
      <c r="I220" s="108">
        <f>INDEX(vector.implicit.prices.STAR.before.discount,MATCH('Cálculos auxiliares'!D220,vector.plans.names,0))</f>
        <v>259.93129450590209</v>
      </c>
      <c r="J220" s="240"/>
      <c r="K220" s="195">
        <f t="shared" si="18"/>
        <v>0</v>
      </c>
      <c r="M220" s="166" t="e">
        <f t="shared" si="19"/>
        <v>#VALUE!</v>
      </c>
      <c r="Q220" s="72">
        <f t="shared" si="20"/>
        <v>0</v>
      </c>
      <c r="R220" s="72">
        <f t="shared" si="20"/>
        <v>1</v>
      </c>
      <c r="S220" s="72">
        <f t="shared" si="14"/>
        <v>0</v>
      </c>
      <c r="T220" s="72">
        <f t="shared" si="14"/>
        <v>0</v>
      </c>
      <c r="U220" s="72">
        <f t="shared" si="14"/>
        <v>0</v>
      </c>
      <c r="V220" s="72">
        <f t="shared" si="14"/>
        <v>0</v>
      </c>
      <c r="W220" s="72">
        <f t="shared" si="14"/>
        <v>0</v>
      </c>
      <c r="X220" s="72">
        <f t="shared" si="22"/>
        <v>0</v>
      </c>
    </row>
    <row r="221" spans="2:24" x14ac:dyDescent="0.2">
      <c r="B221" s="173" t="str">
        <f t="shared" si="16"/>
        <v>TV Conecta Xview+ + Telefonía + 100 MegasSTAR + Internet fijo + Telefonía fija</v>
      </c>
      <c r="C221" s="72">
        <f t="shared" si="21"/>
        <v>95</v>
      </c>
      <c r="D221" s="77" t="str">
        <f t="shared" si="15"/>
        <v>TV Conecta Xview+ + Telefonía + 100 Megas</v>
      </c>
      <c r="F221" s="86" t="str">
        <f>IFERROR(VLOOKUP($D221,Base!$B$7:$L$119,3,FALSE),"")</f>
        <v>STAR + Internet fijo + Telefonía fija</v>
      </c>
      <c r="G221" s="86" t="str">
        <f>IFERROR(VLOOKUP($D221,Base!$B$7:$L$119,2,FALSE),"")</f>
        <v>Residencial</v>
      </c>
      <c r="H221" s="86">
        <f t="shared" si="17"/>
        <v>138</v>
      </c>
      <c r="I221" s="108">
        <f>INDEX(vector.implicit.prices.STAR.before.discount,MATCH('Cálculos auxiliares'!D221,vector.plans.names,0))</f>
        <v>289.05214383162104</v>
      </c>
      <c r="J221" s="240"/>
      <c r="K221" s="195">
        <f t="shared" si="18"/>
        <v>140815.56719999999</v>
      </c>
      <c r="M221" s="166" t="e">
        <f t="shared" si="19"/>
        <v>#VALUE!</v>
      </c>
      <c r="Q221" s="72">
        <f t="shared" si="20"/>
        <v>0</v>
      </c>
      <c r="R221" s="72">
        <f t="shared" si="20"/>
        <v>0</v>
      </c>
      <c r="S221" s="72">
        <f t="shared" si="14"/>
        <v>1</v>
      </c>
      <c r="T221" s="72">
        <f t="shared" si="14"/>
        <v>0</v>
      </c>
      <c r="U221" s="72">
        <f t="shared" si="14"/>
        <v>0</v>
      </c>
      <c r="V221" s="72">
        <f t="shared" si="14"/>
        <v>0</v>
      </c>
      <c r="W221" s="72">
        <f t="shared" si="14"/>
        <v>0</v>
      </c>
      <c r="X221" s="72">
        <f t="shared" si="22"/>
        <v>0</v>
      </c>
    </row>
    <row r="222" spans="2:24" x14ac:dyDescent="0.2">
      <c r="B222" s="173" t="str">
        <f t="shared" si="16"/>
        <v>TV Conecta Xview+ + Telefonía + 100 Megas SimetricoSTAR + Internet fijo + Telefonía fija</v>
      </c>
      <c r="C222" s="72">
        <f t="shared" si="21"/>
        <v>96</v>
      </c>
      <c r="D222" s="77" t="str">
        <f t="shared" si="15"/>
        <v>TV Conecta Xview+ + Telefonía + 100 Megas Simetrico</v>
      </c>
      <c r="F222" s="86" t="str">
        <f>IFERROR(VLOOKUP($D222,Base!$B$7:$L$119,3,FALSE),"")</f>
        <v>STAR + Internet fijo + Telefonía fija</v>
      </c>
      <c r="G222" s="86" t="str">
        <f>IFERROR(VLOOKUP($D222,Base!$B$7:$L$119,2,FALSE),"")</f>
        <v>Residencial</v>
      </c>
      <c r="H222" s="86">
        <f t="shared" si="17"/>
        <v>138</v>
      </c>
      <c r="I222" s="108">
        <f>INDEX(vector.implicit.prices.STAR.before.discount,MATCH('Cálculos auxiliares'!D222,vector.plans.names,0))</f>
        <v>289.05214383162104</v>
      </c>
      <c r="J222" s="240"/>
      <c r="K222" s="195">
        <f t="shared" si="18"/>
        <v>56.872199999999999</v>
      </c>
      <c r="M222" s="166"/>
      <c r="Q222" s="72">
        <f t="shared" si="20"/>
        <v>0</v>
      </c>
      <c r="R222" s="72">
        <f t="shared" si="20"/>
        <v>0</v>
      </c>
      <c r="S222" s="72">
        <f t="shared" si="14"/>
        <v>1</v>
      </c>
      <c r="T222" s="72">
        <f t="shared" si="14"/>
        <v>0</v>
      </c>
      <c r="U222" s="72">
        <f t="shared" si="14"/>
        <v>0</v>
      </c>
      <c r="V222" s="72">
        <f t="shared" si="14"/>
        <v>0</v>
      </c>
      <c r="W222" s="72">
        <f t="shared" si="14"/>
        <v>0</v>
      </c>
      <c r="X222" s="72">
        <f t="shared" si="22"/>
        <v>0</v>
      </c>
    </row>
    <row r="223" spans="2:24" x14ac:dyDescent="0.2">
      <c r="B223" s="173" t="str">
        <f t="shared" si="16"/>
        <v>TV Conecta Xview+ + Telefonía + 1000 MegasSTAR + Internet fijo + Telefonía fija</v>
      </c>
      <c r="C223" s="72">
        <f t="shared" si="21"/>
        <v>97</v>
      </c>
      <c r="D223" s="77" t="str">
        <f t="shared" ref="D223:D239" si="23">D104</f>
        <v>TV Conecta Xview+ + Telefonía + 1000 Megas</v>
      </c>
      <c r="F223" s="86" t="str">
        <f>IFERROR(VLOOKUP($D223,Base!$B$7:$L$119,3,FALSE),"")</f>
        <v>STAR + Internet fijo + Telefonía fija</v>
      </c>
      <c r="G223" s="86" t="str">
        <f>IFERROR(VLOOKUP($D223,Base!$B$7:$L$119,2,FALSE),"")</f>
        <v>Residencial</v>
      </c>
      <c r="H223" s="86">
        <f t="shared" si="17"/>
        <v>138</v>
      </c>
      <c r="I223" s="108">
        <f>INDEX(vector.implicit.prices.STAR.before.discount,MATCH('Cálculos auxiliares'!D223,vector.plans.names,0))</f>
        <v>289.05214383162104</v>
      </c>
      <c r="J223" s="240"/>
      <c r="K223" s="195">
        <f t="shared" si="18"/>
        <v>113.7444</v>
      </c>
      <c r="M223" s="166"/>
      <c r="Q223" s="72">
        <f t="shared" si="20"/>
        <v>0</v>
      </c>
      <c r="R223" s="72">
        <f t="shared" si="20"/>
        <v>0</v>
      </c>
      <c r="S223" s="72">
        <f t="shared" si="14"/>
        <v>1</v>
      </c>
      <c r="T223" s="72">
        <f t="shared" si="14"/>
        <v>0</v>
      </c>
      <c r="U223" s="72">
        <f t="shared" si="14"/>
        <v>0</v>
      </c>
      <c r="V223" s="72">
        <f t="shared" si="14"/>
        <v>0</v>
      </c>
      <c r="W223" s="72">
        <f t="shared" si="14"/>
        <v>0</v>
      </c>
      <c r="X223" s="72">
        <f t="shared" si="22"/>
        <v>0</v>
      </c>
    </row>
    <row r="224" spans="2:24" x14ac:dyDescent="0.2">
      <c r="B224" s="173" t="str">
        <f t="shared" si="16"/>
        <v>TV Conecta Xview+ + Telefonía + 250 MegasSTAR + Internet fijo + Telefonía fija</v>
      </c>
      <c r="C224" s="72">
        <f t="shared" si="21"/>
        <v>98</v>
      </c>
      <c r="D224" s="77" t="str">
        <f t="shared" si="23"/>
        <v>TV Conecta Xview+ + Telefonía + 250 Megas</v>
      </c>
      <c r="F224" s="86" t="str">
        <f>IFERROR(VLOOKUP($D224,Base!$B$7:$L$119,3,FALSE),"")</f>
        <v>STAR + Internet fijo + Telefonía fija</v>
      </c>
      <c r="G224" s="86" t="str">
        <f>IFERROR(VLOOKUP($D224,Base!$B$7:$L$119,2,FALSE),"")</f>
        <v>Residencial</v>
      </c>
      <c r="H224" s="86">
        <f t="shared" si="17"/>
        <v>138</v>
      </c>
      <c r="I224" s="108">
        <f>INDEX(vector.implicit.prices.STAR.before.discount,MATCH('Cálculos auxiliares'!D224,vector.plans.names,0))</f>
        <v>289.05214383162104</v>
      </c>
      <c r="J224" s="240"/>
      <c r="K224" s="195">
        <f t="shared" si="18"/>
        <v>49706.302800000005</v>
      </c>
      <c r="M224" s="166"/>
      <c r="Q224" s="72">
        <f t="shared" si="20"/>
        <v>0</v>
      </c>
      <c r="R224" s="72">
        <f t="shared" si="20"/>
        <v>0</v>
      </c>
      <c r="S224" s="72">
        <f t="shared" si="14"/>
        <v>1</v>
      </c>
      <c r="T224" s="72">
        <f t="shared" si="14"/>
        <v>0</v>
      </c>
      <c r="U224" s="72">
        <f t="shared" si="14"/>
        <v>0</v>
      </c>
      <c r="V224" s="72">
        <f t="shared" si="14"/>
        <v>0</v>
      </c>
      <c r="W224" s="72">
        <f t="shared" si="14"/>
        <v>0</v>
      </c>
      <c r="X224" s="72">
        <f t="shared" si="22"/>
        <v>0</v>
      </c>
    </row>
    <row r="225" spans="2:24" x14ac:dyDescent="0.2">
      <c r="B225" s="173" t="str">
        <f t="shared" si="16"/>
        <v>TV Conecta Xview+ + Telefonía + 250 Megas SimetricoSTAR + Internet fijo + Telefonía fija</v>
      </c>
      <c r="C225" s="72">
        <f t="shared" si="21"/>
        <v>99</v>
      </c>
      <c r="D225" s="77" t="str">
        <f t="shared" si="23"/>
        <v>TV Conecta Xview+ + Telefonía + 250 Megas Simetrico</v>
      </c>
      <c r="F225" s="86" t="str">
        <f>IFERROR(VLOOKUP($D225,Base!$B$7:$L$119,3,FALSE),"")</f>
        <v>STAR + Internet fijo + Telefonía fija</v>
      </c>
      <c r="G225" s="86" t="str">
        <f>IFERROR(VLOOKUP($D225,Base!$B$7:$L$119,2,FALSE),"")</f>
        <v>Residencial</v>
      </c>
      <c r="H225" s="86">
        <f t="shared" si="17"/>
        <v>138</v>
      </c>
      <c r="I225" s="108">
        <f>INDEX(vector.implicit.prices.STAR.before.discount,MATCH('Cálculos auxiliares'!D225,vector.plans.names,0))</f>
        <v>289.05214383162104</v>
      </c>
      <c r="J225" s="240"/>
      <c r="K225" s="195">
        <f t="shared" si="18"/>
        <v>56.872199999999999</v>
      </c>
      <c r="M225" s="166"/>
      <c r="Q225" s="72">
        <f t="shared" si="20"/>
        <v>0</v>
      </c>
      <c r="R225" s="72">
        <f t="shared" si="20"/>
        <v>0</v>
      </c>
      <c r="S225" s="72">
        <f t="shared" si="14"/>
        <v>1</v>
      </c>
      <c r="T225" s="72">
        <f t="shared" si="14"/>
        <v>0</v>
      </c>
      <c r="U225" s="72">
        <f t="shared" si="14"/>
        <v>0</v>
      </c>
      <c r="V225" s="72">
        <f t="shared" si="14"/>
        <v>0</v>
      </c>
      <c r="W225" s="72">
        <f t="shared" si="14"/>
        <v>0</v>
      </c>
      <c r="X225" s="72">
        <f t="shared" si="22"/>
        <v>0</v>
      </c>
    </row>
    <row r="226" spans="2:24" x14ac:dyDescent="0.2">
      <c r="B226" s="173" t="str">
        <f t="shared" si="16"/>
        <v>TV Conecta Xview+ + Telefonía + 500 MegasSTAR + Internet fijo + Telefonía fija</v>
      </c>
      <c r="C226" s="72">
        <f t="shared" si="21"/>
        <v>100</v>
      </c>
      <c r="D226" s="77" t="str">
        <f t="shared" si="23"/>
        <v>TV Conecta Xview+ + Telefonía + 500 Megas</v>
      </c>
      <c r="F226" s="86" t="str">
        <f>IFERROR(VLOOKUP($D226,Base!$B$7:$L$119,3,FALSE),"")</f>
        <v>STAR + Internet fijo + Telefonía fija</v>
      </c>
      <c r="G226" s="86" t="str">
        <f>IFERROR(VLOOKUP($D226,Base!$B$7:$L$119,2,FALSE),"")</f>
        <v>Residencial</v>
      </c>
      <c r="H226" s="86">
        <f t="shared" si="17"/>
        <v>138</v>
      </c>
      <c r="I226" s="108">
        <f>INDEX(vector.implicit.prices.STAR.before.discount,MATCH('Cálculos auxiliares'!D226,vector.plans.names,0))</f>
        <v>289.05214383162104</v>
      </c>
      <c r="J226" s="240"/>
      <c r="K226" s="195">
        <f t="shared" si="18"/>
        <v>1819.9104</v>
      </c>
      <c r="M226" s="166"/>
      <c r="Q226" s="72">
        <f t="shared" si="20"/>
        <v>0</v>
      </c>
      <c r="R226" s="72">
        <f t="shared" si="20"/>
        <v>0</v>
      </c>
      <c r="S226" s="72">
        <f t="shared" si="14"/>
        <v>1</v>
      </c>
      <c r="T226" s="72">
        <f t="shared" si="14"/>
        <v>0</v>
      </c>
      <c r="U226" s="72">
        <f t="shared" si="14"/>
        <v>0</v>
      </c>
      <c r="V226" s="72">
        <f t="shared" si="14"/>
        <v>0</v>
      </c>
      <c r="W226" s="72">
        <f t="shared" si="14"/>
        <v>0</v>
      </c>
      <c r="X226" s="72">
        <f t="shared" si="22"/>
        <v>0</v>
      </c>
    </row>
    <row r="227" spans="2:24" x14ac:dyDescent="0.2">
      <c r="B227" s="173" t="str">
        <f t="shared" si="16"/>
        <v>TV Conecta Xview+ + Telefonía + 500 Megas SimetricoSTAR + Internet fijo + Telefonía fija</v>
      </c>
      <c r="C227" s="72">
        <f t="shared" si="21"/>
        <v>101</v>
      </c>
      <c r="D227" s="77" t="str">
        <f t="shared" si="23"/>
        <v>TV Conecta Xview+ + Telefonía + 500 Megas Simetrico</v>
      </c>
      <c r="F227" s="86" t="str">
        <f>IFERROR(VLOOKUP($D227,Base!$B$7:$L$119,3,FALSE),"")</f>
        <v>STAR + Internet fijo + Telefonía fija</v>
      </c>
      <c r="G227" s="86" t="str">
        <f>IFERROR(VLOOKUP($D227,Base!$B$7:$L$119,2,FALSE),"")</f>
        <v>Residencial</v>
      </c>
      <c r="H227" s="86">
        <f t="shared" si="17"/>
        <v>138</v>
      </c>
      <c r="I227" s="108">
        <f>INDEX(vector.implicit.prices.STAR.before.discount,MATCH('Cálculos auxiliares'!D227,vector.plans.names,0))</f>
        <v>289.05214383162104</v>
      </c>
      <c r="J227" s="240"/>
      <c r="K227" s="195">
        <f t="shared" si="18"/>
        <v>56.872199999999999</v>
      </c>
      <c r="M227" s="166"/>
      <c r="Q227" s="72">
        <f t="shared" si="20"/>
        <v>0</v>
      </c>
      <c r="R227" s="72">
        <f t="shared" si="20"/>
        <v>0</v>
      </c>
      <c r="S227" s="72">
        <f t="shared" si="14"/>
        <v>1</v>
      </c>
      <c r="T227" s="72">
        <f t="shared" si="14"/>
        <v>0</v>
      </c>
      <c r="U227" s="72">
        <f t="shared" si="14"/>
        <v>0</v>
      </c>
      <c r="V227" s="72">
        <f t="shared" si="14"/>
        <v>0</v>
      </c>
      <c r="W227" s="72">
        <f t="shared" si="14"/>
        <v>0</v>
      </c>
      <c r="X227" s="72">
        <f t="shared" si="22"/>
        <v>0</v>
      </c>
    </row>
    <row r="228" spans="2:24" x14ac:dyDescent="0.2">
      <c r="B228" s="173" t="str">
        <f t="shared" si="16"/>
        <v>TV Conecta Xview+ + Telefonía + 60 MegasSTAR + Internet fijo + Telefonía fija</v>
      </c>
      <c r="C228" s="72">
        <f t="shared" si="21"/>
        <v>102</v>
      </c>
      <c r="D228" s="77" t="str">
        <f t="shared" si="23"/>
        <v>TV Conecta Xview+ + Telefonía + 60 Megas</v>
      </c>
      <c r="F228" s="86" t="str">
        <f>IFERROR(VLOOKUP($D228,Base!$B$7:$L$119,3,FALSE),"")</f>
        <v>STAR + Internet fijo + Telefonía fija</v>
      </c>
      <c r="G228" s="86" t="str">
        <f>IFERROR(VLOOKUP($D228,Base!$B$7:$L$119,2,FALSE),"")</f>
        <v>Residencial</v>
      </c>
      <c r="H228" s="86">
        <f t="shared" si="17"/>
        <v>144</v>
      </c>
      <c r="I228" s="108">
        <f>INDEX(vector.implicit.prices.STAR.before.discount,MATCH('Cálculos auxiliares'!D228,vector.plans.names,0))</f>
        <v>293.70751961459428</v>
      </c>
      <c r="J228" s="240"/>
      <c r="K228" s="195">
        <f t="shared" si="18"/>
        <v>245744.77619999999</v>
      </c>
      <c r="M228" s="166"/>
      <c r="Q228" s="72">
        <f t="shared" si="20"/>
        <v>0</v>
      </c>
      <c r="R228" s="72">
        <f t="shared" si="20"/>
        <v>0</v>
      </c>
      <c r="S228" s="72">
        <f t="shared" si="14"/>
        <v>0</v>
      </c>
      <c r="T228" s="72">
        <f t="shared" si="14"/>
        <v>1</v>
      </c>
      <c r="U228" s="72">
        <f t="shared" si="14"/>
        <v>0</v>
      </c>
      <c r="V228" s="72">
        <f t="shared" si="14"/>
        <v>0</v>
      </c>
      <c r="W228" s="72">
        <f t="shared" si="14"/>
        <v>0</v>
      </c>
      <c r="X228" s="72">
        <f t="shared" si="22"/>
        <v>0</v>
      </c>
    </row>
    <row r="229" spans="2:24" x14ac:dyDescent="0.2">
      <c r="B229" s="173" t="str">
        <f t="shared" si="16"/>
        <v>TV Conecta Xview+ + Telefonía + 60 Megas SimetricoSTAR + Internet fijo + Telefonía fija</v>
      </c>
      <c r="C229" s="72">
        <f t="shared" si="21"/>
        <v>103</v>
      </c>
      <c r="D229" s="77" t="str">
        <f t="shared" si="23"/>
        <v>TV Conecta Xview+ + Telefonía + 60 Megas Simetrico</v>
      </c>
      <c r="F229" s="86" t="str">
        <f>IFERROR(VLOOKUP($D229,Base!$B$7:$L$119,3,FALSE),"")</f>
        <v>STAR + Internet fijo + Telefonía fija</v>
      </c>
      <c r="G229" s="86" t="str">
        <f>IFERROR(VLOOKUP($D229,Base!$B$7:$L$119,2,FALSE),"")</f>
        <v>Residencial</v>
      </c>
      <c r="H229" s="86">
        <f t="shared" si="17"/>
        <v>144</v>
      </c>
      <c r="I229" s="108">
        <f>INDEX(vector.implicit.prices.STAR.before.discount,MATCH('Cálculos auxiliares'!D229,vector.plans.names,0))</f>
        <v>293.70751961459428</v>
      </c>
      <c r="J229" s="240"/>
      <c r="K229" s="195">
        <f t="shared" si="18"/>
        <v>56.872199999999999</v>
      </c>
      <c r="M229" s="166"/>
      <c r="Q229" s="72">
        <f t="shared" si="20"/>
        <v>0</v>
      </c>
      <c r="R229" s="72">
        <f t="shared" si="20"/>
        <v>0</v>
      </c>
      <c r="S229" s="72">
        <f t="shared" si="14"/>
        <v>0</v>
      </c>
      <c r="T229" s="72">
        <f t="shared" si="14"/>
        <v>1</v>
      </c>
      <c r="U229" s="72">
        <f t="shared" si="14"/>
        <v>0</v>
      </c>
      <c r="V229" s="72">
        <f t="shared" si="14"/>
        <v>0</v>
      </c>
      <c r="W229" s="72">
        <f t="shared" si="14"/>
        <v>0</v>
      </c>
      <c r="X229" s="72">
        <f t="shared" si="22"/>
        <v>0</v>
      </c>
    </row>
    <row r="230" spans="2:24" x14ac:dyDescent="0.2">
      <c r="B230" s="173" t="str">
        <f t="shared" si="16"/>
        <v>TV Conecta Xview+ Negocio + Telefonía Negocio + 100 Megas NegocioSTAR + Internet fijo + Telefonía fija</v>
      </c>
      <c r="C230" s="72">
        <f t="shared" si="21"/>
        <v>104</v>
      </c>
      <c r="D230" s="77" t="str">
        <f t="shared" si="23"/>
        <v>TV Conecta Xview+ Negocio + Telefonía Negocio + 100 Megas Negocio</v>
      </c>
      <c r="F230" s="86" t="str">
        <f>IFERROR(VLOOKUP($D230,Base!$B$7:$L$119,3,FALSE),"")</f>
        <v>STAR + Internet fijo + Telefonía fija</v>
      </c>
      <c r="G230" s="86" t="str">
        <f>IFERROR(VLOOKUP($D230,Base!$B$7:$L$119,2,FALSE),"")</f>
        <v>Negocio</v>
      </c>
      <c r="H230" s="86">
        <f t="shared" si="17"/>
        <v>138</v>
      </c>
      <c r="I230" s="108">
        <f>INDEX(vector.implicit.prices.STAR.before.discount,MATCH('Cálculos auxiliares'!D230,vector.plans.names,0))</f>
        <v>289.05214383162104</v>
      </c>
      <c r="J230" s="240"/>
      <c r="K230" s="195">
        <f t="shared" si="18"/>
        <v>5573.4755999999998</v>
      </c>
      <c r="M230" s="166"/>
      <c r="Q230" s="72">
        <f t="shared" si="20"/>
        <v>0</v>
      </c>
      <c r="R230" s="72">
        <f t="shared" si="20"/>
        <v>0</v>
      </c>
      <c r="S230" s="72">
        <f t="shared" si="14"/>
        <v>1</v>
      </c>
      <c r="T230" s="72">
        <f t="shared" si="14"/>
        <v>0</v>
      </c>
      <c r="U230" s="72">
        <f t="shared" si="14"/>
        <v>0</v>
      </c>
      <c r="V230" s="72">
        <f t="shared" si="14"/>
        <v>0</v>
      </c>
      <c r="W230" s="72">
        <f t="shared" si="14"/>
        <v>0</v>
      </c>
      <c r="X230" s="72">
        <f t="shared" si="22"/>
        <v>0</v>
      </c>
    </row>
    <row r="231" spans="2:24" x14ac:dyDescent="0.2">
      <c r="B231" s="173" t="str">
        <f t="shared" si="16"/>
        <v>TV Conecta Xview+ Negocio + Telefonía Negocio + 100 Megas Simetrico NegocioSTAR + Internet fijo + Telefonía fija</v>
      </c>
      <c r="C231" s="72">
        <f t="shared" si="21"/>
        <v>105</v>
      </c>
      <c r="D231" s="77" t="str">
        <f t="shared" si="23"/>
        <v>TV Conecta Xview+ Negocio + Telefonía Negocio + 100 Megas Simetrico Negocio</v>
      </c>
      <c r="F231" s="86" t="str">
        <f>IFERROR(VLOOKUP($D231,Base!$B$7:$L$119,3,FALSE),"")</f>
        <v>STAR + Internet fijo + Telefonía fija</v>
      </c>
      <c r="G231" s="86" t="str">
        <f>IFERROR(VLOOKUP($D231,Base!$B$7:$L$119,2,FALSE),"")</f>
        <v>Negocio</v>
      </c>
      <c r="H231" s="86">
        <f t="shared" si="17"/>
        <v>138</v>
      </c>
      <c r="I231" s="108">
        <f>INDEX(vector.implicit.prices.STAR.before.discount,MATCH('Cálculos auxiliares'!D231,vector.plans.names,0))</f>
        <v>289.05214383162104</v>
      </c>
      <c r="J231" s="240"/>
      <c r="K231" s="195">
        <f t="shared" si="18"/>
        <v>56.872199999999999</v>
      </c>
      <c r="M231" s="166"/>
      <c r="Q231" s="72">
        <f t="shared" si="20"/>
        <v>0</v>
      </c>
      <c r="R231" s="72">
        <f t="shared" si="20"/>
        <v>0</v>
      </c>
      <c r="S231" s="72">
        <f t="shared" si="14"/>
        <v>1</v>
      </c>
      <c r="T231" s="72">
        <f t="shared" si="14"/>
        <v>0</v>
      </c>
      <c r="U231" s="72">
        <f t="shared" si="14"/>
        <v>0</v>
      </c>
      <c r="V231" s="72">
        <f t="shared" si="14"/>
        <v>0</v>
      </c>
      <c r="W231" s="72">
        <f t="shared" si="14"/>
        <v>0</v>
      </c>
      <c r="X231" s="72">
        <f t="shared" si="22"/>
        <v>0</v>
      </c>
    </row>
    <row r="232" spans="2:24" x14ac:dyDescent="0.2">
      <c r="B232" s="173" t="str">
        <f t="shared" si="16"/>
        <v>TV Conecta Xview+ Negocio + Telefonía Negocio + 1000 Megas NegocioSTAR + Internet fijo + Telefonía fija</v>
      </c>
      <c r="C232" s="72">
        <f t="shared" si="21"/>
        <v>106</v>
      </c>
      <c r="D232" s="77" t="str">
        <f t="shared" si="23"/>
        <v>TV Conecta Xview+ Negocio + Telefonía Negocio + 1000 Megas Negocio</v>
      </c>
      <c r="F232" s="86" t="str">
        <f>IFERROR(VLOOKUP($D232,Base!$B$7:$L$119,3,FALSE),"")</f>
        <v>STAR + Internet fijo + Telefonía fija</v>
      </c>
      <c r="G232" s="86" t="str">
        <f>IFERROR(VLOOKUP($D232,Base!$B$7:$L$119,2,FALSE),"")</f>
        <v>Negocio</v>
      </c>
      <c r="H232" s="86">
        <f t="shared" si="17"/>
        <v>138</v>
      </c>
      <c r="I232" s="108">
        <f>INDEX(vector.implicit.prices.STAR.before.discount,MATCH('Cálculos auxiliares'!D232,vector.plans.names,0))</f>
        <v>289.05214383162104</v>
      </c>
      <c r="J232" s="240"/>
      <c r="K232" s="195">
        <f t="shared" si="18"/>
        <v>56.872199999999999</v>
      </c>
      <c r="M232" s="166"/>
      <c r="Q232" s="72">
        <f t="shared" si="20"/>
        <v>0</v>
      </c>
      <c r="R232" s="72">
        <f t="shared" si="20"/>
        <v>0</v>
      </c>
      <c r="S232" s="72">
        <f t="shared" si="14"/>
        <v>1</v>
      </c>
      <c r="T232" s="72">
        <f t="shared" si="14"/>
        <v>0</v>
      </c>
      <c r="U232" s="72">
        <f t="shared" si="14"/>
        <v>0</v>
      </c>
      <c r="V232" s="72">
        <f t="shared" si="14"/>
        <v>0</v>
      </c>
      <c r="W232" s="72">
        <f t="shared" si="14"/>
        <v>0</v>
      </c>
      <c r="X232" s="72">
        <f t="shared" si="22"/>
        <v>0</v>
      </c>
    </row>
    <row r="233" spans="2:24" x14ac:dyDescent="0.2">
      <c r="B233" s="173" t="str">
        <f t="shared" si="16"/>
        <v>TV Conecta Xview+ Negocio + Telefonía Negocio + 250 Megas NegocioSTAR + Internet fijo + Telefonía fija</v>
      </c>
      <c r="C233" s="72">
        <f t="shared" si="21"/>
        <v>107</v>
      </c>
      <c r="D233" s="77" t="str">
        <f t="shared" si="23"/>
        <v>TV Conecta Xview+ Negocio + Telefonía Negocio + 250 Megas Negocio</v>
      </c>
      <c r="F233" s="86" t="str">
        <f>IFERROR(VLOOKUP($D233,Base!$B$7:$L$119,3,FALSE),"")</f>
        <v>STAR + Internet fijo + Telefonía fija</v>
      </c>
      <c r="G233" s="86" t="str">
        <f>IFERROR(VLOOKUP($D233,Base!$B$7:$L$119,2,FALSE),"")</f>
        <v>Negocio</v>
      </c>
      <c r="H233" s="86">
        <f t="shared" si="17"/>
        <v>138</v>
      </c>
      <c r="I233" s="108">
        <f>INDEX(vector.implicit.prices.STAR.before.discount,MATCH('Cálculos auxiliares'!D233,vector.plans.names,0))</f>
        <v>289.05214383162104</v>
      </c>
      <c r="J233" s="240"/>
      <c r="K233" s="195">
        <f t="shared" si="18"/>
        <v>3412.3319999999999</v>
      </c>
      <c r="M233" s="166"/>
      <c r="Q233" s="72">
        <f t="shared" si="20"/>
        <v>0</v>
      </c>
      <c r="R233" s="72">
        <f t="shared" si="20"/>
        <v>0</v>
      </c>
      <c r="S233" s="72">
        <f t="shared" si="14"/>
        <v>1</v>
      </c>
      <c r="T233" s="72">
        <f t="shared" si="14"/>
        <v>0</v>
      </c>
      <c r="U233" s="72">
        <f t="shared" si="14"/>
        <v>0</v>
      </c>
      <c r="V233" s="72">
        <f t="shared" si="14"/>
        <v>0</v>
      </c>
      <c r="W233" s="72">
        <f t="shared" si="14"/>
        <v>0</v>
      </c>
      <c r="X233" s="72">
        <f t="shared" si="22"/>
        <v>0</v>
      </c>
    </row>
    <row r="234" spans="2:24" x14ac:dyDescent="0.2">
      <c r="B234" s="173" t="str">
        <f t="shared" si="16"/>
        <v>TV Conecta Xview+ Negocio + Telefonía Negocio + 250 Megas Simetrico NegocioSTAR + Internet fijo + Telefonía fija</v>
      </c>
      <c r="C234" s="72">
        <f t="shared" si="21"/>
        <v>108</v>
      </c>
      <c r="D234" s="77" t="str">
        <f t="shared" si="23"/>
        <v>TV Conecta Xview+ Negocio + Telefonía Negocio + 250 Megas Simetrico Negocio</v>
      </c>
      <c r="F234" s="86" t="str">
        <f>IFERROR(VLOOKUP($D234,Base!$B$7:$L$119,3,FALSE),"")</f>
        <v>STAR + Internet fijo + Telefonía fija</v>
      </c>
      <c r="G234" s="86" t="str">
        <f>IFERROR(VLOOKUP($D234,Base!$B$7:$L$119,2,FALSE),"")</f>
        <v>Negocio</v>
      </c>
      <c r="H234" s="86">
        <f t="shared" si="17"/>
        <v>138</v>
      </c>
      <c r="I234" s="108">
        <f>INDEX(vector.implicit.prices.STAR.before.discount,MATCH('Cálculos auxiliares'!D234,vector.plans.names,0))</f>
        <v>289.05214383162104</v>
      </c>
      <c r="J234" s="240"/>
      <c r="K234" s="195">
        <f t="shared" si="18"/>
        <v>56.872199999999999</v>
      </c>
      <c r="M234" s="166"/>
      <c r="Q234" s="72">
        <f t="shared" si="20"/>
        <v>0</v>
      </c>
      <c r="R234" s="72">
        <f t="shared" si="20"/>
        <v>0</v>
      </c>
      <c r="S234" s="72">
        <f t="shared" si="14"/>
        <v>1</v>
      </c>
      <c r="T234" s="72">
        <f t="shared" si="14"/>
        <v>0</v>
      </c>
      <c r="U234" s="72">
        <f t="shared" si="14"/>
        <v>0</v>
      </c>
      <c r="V234" s="72">
        <f t="shared" si="14"/>
        <v>0</v>
      </c>
      <c r="W234" s="72">
        <f t="shared" si="14"/>
        <v>0</v>
      </c>
      <c r="X234" s="72">
        <f t="shared" si="22"/>
        <v>0</v>
      </c>
    </row>
    <row r="235" spans="2:24" x14ac:dyDescent="0.2">
      <c r="C235" s="72">
        <f t="shared" si="21"/>
        <v>109</v>
      </c>
      <c r="D235" s="77" t="str">
        <f t="shared" si="23"/>
        <v>TV Conecta Xview+ Negocio + Telefonía Negocio + 500 Megas Negocio</v>
      </c>
      <c r="F235" s="86" t="str">
        <f>IFERROR(VLOOKUP($D235,Base!$B$7:$L$119,3,FALSE),"")</f>
        <v>STAR + Internet fijo + Telefonía fija</v>
      </c>
      <c r="G235" s="86" t="str">
        <f>IFERROR(VLOOKUP($D235,Base!$B$7:$L$119,2,FALSE),"")</f>
        <v>Negocio</v>
      </c>
      <c r="H235" s="86">
        <f t="shared" si="17"/>
        <v>138</v>
      </c>
      <c r="I235" s="108">
        <f>INDEX(vector.implicit.prices.STAR.before.discount,MATCH('Cálculos auxiliares'!D235,vector.plans.names,0))</f>
        <v>289.05214383162104</v>
      </c>
      <c r="J235" s="240"/>
      <c r="K235" s="195">
        <f t="shared" si="18"/>
        <v>170.61659999999998</v>
      </c>
      <c r="M235" s="166"/>
      <c r="Q235" s="72">
        <f t="shared" si="20"/>
        <v>0</v>
      </c>
      <c r="R235" s="72">
        <f t="shared" si="20"/>
        <v>0</v>
      </c>
      <c r="S235" s="72">
        <f t="shared" si="14"/>
        <v>1</v>
      </c>
      <c r="T235" s="72">
        <f t="shared" si="14"/>
        <v>0</v>
      </c>
      <c r="U235" s="72">
        <f t="shared" si="14"/>
        <v>0</v>
      </c>
      <c r="V235" s="72">
        <f t="shared" si="14"/>
        <v>0</v>
      </c>
      <c r="W235" s="72">
        <f t="shared" si="14"/>
        <v>0</v>
      </c>
      <c r="X235" s="72">
        <f t="shared" si="22"/>
        <v>0</v>
      </c>
    </row>
    <row r="236" spans="2:24" x14ac:dyDescent="0.2">
      <c r="C236" s="72">
        <f t="shared" si="21"/>
        <v>110</v>
      </c>
      <c r="D236" s="77" t="str">
        <f t="shared" si="23"/>
        <v>TV Conecta Xview+ Negocio + Telefonía Negocio + 500 Megas Simetrico Negocio</v>
      </c>
      <c r="F236" s="86" t="str">
        <f>IFERROR(VLOOKUP($D236,Base!$B$7:$L$119,3,FALSE),"")</f>
        <v>STAR + Internet fijo + Telefonía fija</v>
      </c>
      <c r="G236" s="86" t="str">
        <f>IFERROR(VLOOKUP($D236,Base!$B$7:$L$119,2,FALSE),"")</f>
        <v>Negocio</v>
      </c>
      <c r="H236" s="86">
        <f t="shared" si="17"/>
        <v>138</v>
      </c>
      <c r="I236" s="108">
        <f>INDEX(vector.implicit.prices.STAR.before.discount,MATCH('Cálculos auxiliares'!D236,vector.plans.names,0))</f>
        <v>289.05214383162104</v>
      </c>
      <c r="J236" s="240"/>
      <c r="K236" s="195">
        <f t="shared" si="18"/>
        <v>56.872199999999999</v>
      </c>
      <c r="M236" s="166"/>
      <c r="Q236" s="72">
        <f t="shared" si="20"/>
        <v>0</v>
      </c>
      <c r="R236" s="72">
        <f t="shared" si="20"/>
        <v>0</v>
      </c>
      <c r="S236" s="72">
        <f t="shared" si="14"/>
        <v>1</v>
      </c>
      <c r="T236" s="72">
        <f t="shared" si="14"/>
        <v>0</v>
      </c>
      <c r="U236" s="72">
        <f t="shared" si="14"/>
        <v>0</v>
      </c>
      <c r="V236" s="72">
        <f t="shared" si="14"/>
        <v>0</v>
      </c>
      <c r="W236" s="72">
        <f t="shared" si="14"/>
        <v>0</v>
      </c>
      <c r="X236" s="72">
        <f t="shared" si="22"/>
        <v>0</v>
      </c>
    </row>
    <row r="237" spans="2:24" x14ac:dyDescent="0.2">
      <c r="C237" s="72">
        <f t="shared" si="21"/>
        <v>111</v>
      </c>
      <c r="D237" s="77" t="str">
        <f t="shared" si="23"/>
        <v>TV Conecta Xview+ Negocio + Telefonía Negocio + 60 Megas Negocio</v>
      </c>
      <c r="F237" s="86" t="str">
        <f>IFERROR(VLOOKUP($D237,Base!$B$7:$L$119,3,FALSE),"")</f>
        <v>STAR + Internet fijo + Telefonía fija</v>
      </c>
      <c r="G237" s="86" t="str">
        <f>IFERROR(VLOOKUP($D237,Base!$B$7:$L$119,2,FALSE),"")</f>
        <v>Negocio</v>
      </c>
      <c r="H237" s="86">
        <f t="shared" si="17"/>
        <v>144</v>
      </c>
      <c r="I237" s="108">
        <f>INDEX(vector.implicit.prices.STAR.before.discount,MATCH('Cálculos auxiliares'!D237,vector.plans.names,0))</f>
        <v>293.70751961459428</v>
      </c>
      <c r="J237" s="240"/>
      <c r="K237" s="195">
        <f t="shared" si="18"/>
        <v>10862.590199999999</v>
      </c>
      <c r="M237" s="166"/>
      <c r="Q237" s="72">
        <f t="shared" si="20"/>
        <v>0</v>
      </c>
      <c r="R237" s="72">
        <f t="shared" si="20"/>
        <v>0</v>
      </c>
      <c r="S237" s="72">
        <f t="shared" si="14"/>
        <v>0</v>
      </c>
      <c r="T237" s="72">
        <f t="shared" si="14"/>
        <v>1</v>
      </c>
      <c r="U237" s="72">
        <f t="shared" si="14"/>
        <v>0</v>
      </c>
      <c r="V237" s="72">
        <f t="shared" si="14"/>
        <v>0</v>
      </c>
      <c r="W237" s="72">
        <f t="shared" si="14"/>
        <v>0</v>
      </c>
      <c r="X237" s="72">
        <f t="shared" si="22"/>
        <v>0</v>
      </c>
    </row>
    <row r="238" spans="2:24" x14ac:dyDescent="0.2">
      <c r="C238" s="72">
        <f t="shared" si="21"/>
        <v>112</v>
      </c>
      <c r="D238" s="77" t="str">
        <f t="shared" si="23"/>
        <v>TV Conecta Xview+ Negocio + Telefonía Negocio + 60 Megas Simetrico Negocio</v>
      </c>
      <c r="F238" s="86" t="str">
        <f>IFERROR(VLOOKUP($D238,Base!$B$7:$L$119,3,FALSE),"")</f>
        <v>STAR + Internet fijo + Telefonía fija</v>
      </c>
      <c r="G238" s="86" t="str">
        <f>IFERROR(VLOOKUP($D238,Base!$B$7:$L$119,2,FALSE),"")</f>
        <v>Negocio</v>
      </c>
      <c r="H238" s="86">
        <f t="shared" si="17"/>
        <v>144</v>
      </c>
      <c r="I238" s="108">
        <f>INDEX(vector.implicit.prices.STAR.before.discount,MATCH('Cálculos auxiliares'!D238,vector.plans.names,0))</f>
        <v>293.70751961459428</v>
      </c>
      <c r="J238" s="240"/>
      <c r="K238" s="195">
        <f t="shared" si="18"/>
        <v>56.872199999999999</v>
      </c>
      <c r="M238" s="166"/>
      <c r="Q238" s="72">
        <f t="shared" si="20"/>
        <v>0</v>
      </c>
      <c r="R238" s="72">
        <f t="shared" si="20"/>
        <v>0</v>
      </c>
      <c r="S238" s="72">
        <f t="shared" si="14"/>
        <v>0</v>
      </c>
      <c r="T238" s="72">
        <f t="shared" si="14"/>
        <v>1</v>
      </c>
      <c r="U238" s="72">
        <f t="shared" si="14"/>
        <v>0</v>
      </c>
      <c r="V238" s="72">
        <f t="shared" si="14"/>
        <v>0</v>
      </c>
      <c r="W238" s="72">
        <f t="shared" si="14"/>
        <v>0</v>
      </c>
      <c r="X238" s="72">
        <f t="shared" si="22"/>
        <v>0</v>
      </c>
    </row>
    <row r="239" spans="2:24" ht="12.75" thickBot="1" x14ac:dyDescent="0.25">
      <c r="C239" s="72">
        <f t="shared" si="21"/>
        <v>113</v>
      </c>
      <c r="D239" s="77" t="str">
        <f t="shared" si="23"/>
        <v>Full Connected Home</v>
      </c>
      <c r="F239" s="86" t="str">
        <f>IFERROR(VLOOKUP($D239,Base!$B$7:$L$119,3,FALSE),"")</f>
        <v>STAR + Internet fijo + Telefonía fija</v>
      </c>
      <c r="G239" s="86" t="str">
        <f>IFERROR(VLOOKUP($D239,Base!$B$7:$L$119,2,FALSE),"")</f>
        <v>Residencial</v>
      </c>
      <c r="H239" s="86">
        <f t="shared" si="17"/>
        <v>227</v>
      </c>
      <c r="I239" s="108">
        <f>INDEX(vector.implicit.prices.STAR.before.discount,MATCH('Cálculos auxiliares'!D239,vector.plans.names,0))</f>
        <v>348.4336060427118</v>
      </c>
      <c r="J239" s="240"/>
      <c r="K239" s="195">
        <f t="shared" si="18"/>
        <v>5118.4979999999996</v>
      </c>
      <c r="M239" s="166"/>
      <c r="Q239" s="72">
        <f t="shared" si="20"/>
        <v>0</v>
      </c>
      <c r="R239" s="72">
        <f t="shared" si="20"/>
        <v>0</v>
      </c>
      <c r="S239" s="72">
        <f t="shared" si="14"/>
        <v>0</v>
      </c>
      <c r="T239" s="72">
        <f t="shared" si="14"/>
        <v>0</v>
      </c>
      <c r="U239" s="72">
        <f t="shared" ref="T239:W246" si="24">IF(U$126=$M239,1,0)</f>
        <v>0</v>
      </c>
      <c r="V239" s="72">
        <f t="shared" si="14"/>
        <v>0</v>
      </c>
      <c r="W239" s="72">
        <f t="shared" si="14"/>
        <v>0</v>
      </c>
      <c r="X239" s="72">
        <f t="shared" si="22"/>
        <v>1</v>
      </c>
    </row>
    <row r="240" spans="2:24" hidden="1" outlineLevel="1" x14ac:dyDescent="0.2">
      <c r="C240" s="72">
        <f t="shared" si="21"/>
        <v>114</v>
      </c>
      <c r="D240" s="77"/>
      <c r="F240" s="86"/>
      <c r="G240" s="86"/>
      <c r="H240" s="108"/>
      <c r="I240" s="145"/>
      <c r="J240" s="239"/>
      <c r="K240" s="146"/>
      <c r="M240" s="166"/>
      <c r="Q240" s="72">
        <f t="shared" si="20"/>
        <v>0</v>
      </c>
      <c r="R240" s="72">
        <f t="shared" ref="Q240:S246" si="25">IF(R$126=$M240,1,0)</f>
        <v>0</v>
      </c>
      <c r="S240" s="72">
        <f t="shared" si="20"/>
        <v>0</v>
      </c>
      <c r="T240" s="72">
        <f t="shared" ref="T240" si="26">IF(T$126=$M240,1,0)</f>
        <v>0</v>
      </c>
      <c r="U240" s="72">
        <f t="shared" si="24"/>
        <v>0</v>
      </c>
      <c r="V240" s="72">
        <f t="shared" ref="V240:W241" si="27">IF(V$126=$H240,1,0)</f>
        <v>0</v>
      </c>
      <c r="W240" s="72">
        <f t="shared" si="27"/>
        <v>0</v>
      </c>
      <c r="X240" s="72">
        <f t="shared" si="22"/>
        <v>0</v>
      </c>
    </row>
    <row r="241" spans="3:24" hidden="1" outlineLevel="1" x14ac:dyDescent="0.2">
      <c r="C241" s="72">
        <f t="shared" si="21"/>
        <v>115</v>
      </c>
      <c r="D241" s="77"/>
      <c r="F241" s="86"/>
      <c r="G241" s="86"/>
      <c r="H241" s="108"/>
      <c r="I241" s="145"/>
      <c r="J241" s="109"/>
      <c r="K241" s="146"/>
      <c r="M241" s="166"/>
      <c r="Q241" s="72">
        <f t="shared" si="20"/>
        <v>0</v>
      </c>
      <c r="R241" s="72">
        <f t="shared" si="25"/>
        <v>0</v>
      </c>
      <c r="S241" s="72">
        <f t="shared" si="20"/>
        <v>0</v>
      </c>
      <c r="T241" s="72">
        <f t="shared" si="24"/>
        <v>0</v>
      </c>
      <c r="U241" s="72">
        <f t="shared" si="24"/>
        <v>0</v>
      </c>
      <c r="V241" s="72">
        <f t="shared" si="27"/>
        <v>0</v>
      </c>
      <c r="W241" s="72">
        <f t="shared" si="27"/>
        <v>0</v>
      </c>
      <c r="X241" s="72">
        <f t="shared" ref="X241:X246" si="28">IF(X$126=$M241,1,0)</f>
        <v>0</v>
      </c>
    </row>
    <row r="242" spans="3:24" hidden="1" outlineLevel="1" x14ac:dyDescent="0.2">
      <c r="C242" s="72">
        <f t="shared" si="21"/>
        <v>116</v>
      </c>
      <c r="D242" s="77"/>
      <c r="F242" s="86"/>
      <c r="G242" s="86"/>
      <c r="H242" s="108"/>
      <c r="I242" s="145"/>
      <c r="J242" s="109"/>
      <c r="K242" s="146"/>
      <c r="M242" s="166"/>
      <c r="Q242" s="72">
        <f t="shared" si="25"/>
        <v>0</v>
      </c>
      <c r="R242" s="72">
        <f t="shared" si="25"/>
        <v>0</v>
      </c>
      <c r="S242" s="72">
        <f t="shared" ref="S242" si="29">IF(S$126=$H242,1,0)</f>
        <v>0</v>
      </c>
      <c r="T242" s="72">
        <f t="shared" si="24"/>
        <v>0</v>
      </c>
      <c r="U242" s="72">
        <f t="shared" si="24"/>
        <v>0</v>
      </c>
      <c r="V242" s="72">
        <f t="shared" si="24"/>
        <v>0</v>
      </c>
      <c r="W242" s="72">
        <f t="shared" si="24"/>
        <v>0</v>
      </c>
      <c r="X242" s="72">
        <f t="shared" si="28"/>
        <v>0</v>
      </c>
    </row>
    <row r="243" spans="3:24" hidden="1" outlineLevel="1" x14ac:dyDescent="0.2">
      <c r="C243" s="72">
        <f t="shared" si="21"/>
        <v>117</v>
      </c>
      <c r="D243" s="77"/>
      <c r="F243" s="86"/>
      <c r="G243" s="86"/>
      <c r="H243" s="108"/>
      <c r="I243" s="145"/>
      <c r="J243" s="109"/>
      <c r="K243" s="146"/>
      <c r="M243" s="166"/>
      <c r="Q243" s="72">
        <f t="shared" si="25"/>
        <v>0</v>
      </c>
      <c r="R243" s="72">
        <f t="shared" si="25"/>
        <v>0</v>
      </c>
      <c r="S243" s="72">
        <f t="shared" si="25"/>
        <v>0</v>
      </c>
      <c r="T243" s="72">
        <f t="shared" si="24"/>
        <v>0</v>
      </c>
      <c r="U243" s="72">
        <f t="shared" si="24"/>
        <v>0</v>
      </c>
      <c r="V243" s="72">
        <f t="shared" si="24"/>
        <v>0</v>
      </c>
      <c r="W243" s="72">
        <f t="shared" si="24"/>
        <v>0</v>
      </c>
      <c r="X243" s="72">
        <f t="shared" si="28"/>
        <v>0</v>
      </c>
    </row>
    <row r="244" spans="3:24" hidden="1" outlineLevel="1" x14ac:dyDescent="0.2">
      <c r="C244" s="72">
        <f t="shared" si="21"/>
        <v>118</v>
      </c>
      <c r="D244" s="77"/>
      <c r="F244" s="86"/>
      <c r="G244" s="86"/>
      <c r="H244" s="108"/>
      <c r="I244" s="145"/>
      <c r="J244" s="109"/>
      <c r="K244" s="146"/>
      <c r="M244" s="166"/>
      <c r="Q244" s="72">
        <f t="shared" si="25"/>
        <v>0</v>
      </c>
      <c r="R244" s="72">
        <f t="shared" si="25"/>
        <v>0</v>
      </c>
      <c r="S244" s="72">
        <f t="shared" si="25"/>
        <v>0</v>
      </c>
      <c r="T244" s="72">
        <f t="shared" si="24"/>
        <v>0</v>
      </c>
      <c r="U244" s="72">
        <f t="shared" si="24"/>
        <v>0</v>
      </c>
      <c r="V244" s="72">
        <f t="shared" si="24"/>
        <v>0</v>
      </c>
      <c r="W244" s="72">
        <f t="shared" si="24"/>
        <v>0</v>
      </c>
      <c r="X244" s="72">
        <f t="shared" si="28"/>
        <v>0</v>
      </c>
    </row>
    <row r="245" spans="3:24" hidden="1" outlineLevel="1" x14ac:dyDescent="0.2">
      <c r="C245" s="72">
        <f t="shared" si="21"/>
        <v>119</v>
      </c>
      <c r="D245" s="77"/>
      <c r="F245" s="86"/>
      <c r="G245" s="86"/>
      <c r="H245" s="108"/>
      <c r="I245" s="145"/>
      <c r="J245" s="109"/>
      <c r="K245" s="146"/>
      <c r="M245" s="166"/>
      <c r="Q245" s="72">
        <f t="shared" si="25"/>
        <v>0</v>
      </c>
      <c r="R245" s="72">
        <f t="shared" si="25"/>
        <v>0</v>
      </c>
      <c r="S245" s="72">
        <f t="shared" si="25"/>
        <v>0</v>
      </c>
      <c r="T245" s="72">
        <f t="shared" si="24"/>
        <v>0</v>
      </c>
      <c r="U245" s="72">
        <f t="shared" si="24"/>
        <v>0</v>
      </c>
      <c r="V245" s="72">
        <f t="shared" si="24"/>
        <v>0</v>
      </c>
      <c r="W245" s="72">
        <f t="shared" si="24"/>
        <v>0</v>
      </c>
      <c r="X245" s="72">
        <f t="shared" si="28"/>
        <v>0</v>
      </c>
    </row>
    <row r="246" spans="3:24" ht="12.75" hidden="1" outlineLevel="1" thickBot="1" x14ac:dyDescent="0.25">
      <c r="C246" s="72">
        <f t="shared" si="21"/>
        <v>120</v>
      </c>
      <c r="D246" s="77"/>
      <c r="F246" s="86"/>
      <c r="G246" s="86"/>
      <c r="H246" s="108"/>
      <c r="I246" s="145"/>
      <c r="J246" s="109"/>
      <c r="K246" s="146"/>
      <c r="M246" s="166"/>
      <c r="Q246" s="72">
        <f t="shared" si="25"/>
        <v>0</v>
      </c>
      <c r="R246" s="72">
        <f t="shared" si="25"/>
        <v>0</v>
      </c>
      <c r="S246" s="72">
        <f t="shared" si="25"/>
        <v>0</v>
      </c>
      <c r="T246" s="72">
        <f t="shared" si="24"/>
        <v>0</v>
      </c>
      <c r="U246" s="72">
        <f t="shared" si="24"/>
        <v>0</v>
      </c>
      <c r="V246" s="72">
        <f t="shared" si="24"/>
        <v>0</v>
      </c>
      <c r="W246" s="72">
        <f t="shared" si="24"/>
        <v>0</v>
      </c>
      <c r="X246" s="72">
        <f t="shared" si="28"/>
        <v>0</v>
      </c>
    </row>
    <row r="247" spans="3:24" collapsed="1" x14ac:dyDescent="0.2">
      <c r="C247" s="38"/>
      <c r="D247" s="38"/>
      <c r="E247" s="38"/>
      <c r="F247" s="38"/>
      <c r="G247" s="38"/>
      <c r="H247" s="38"/>
      <c r="I247" s="38"/>
      <c r="J247" s="38"/>
      <c r="K247" s="38"/>
      <c r="L247" s="132" t="s">
        <v>208</v>
      </c>
      <c r="M247" s="38"/>
      <c r="Q247" s="38" t="s">
        <v>210</v>
      </c>
      <c r="R247" s="38" t="s">
        <v>210</v>
      </c>
      <c r="S247" s="38" t="s">
        <v>210</v>
      </c>
      <c r="T247" s="38" t="s">
        <v>210</v>
      </c>
      <c r="U247" s="38" t="s">
        <v>210</v>
      </c>
      <c r="V247" s="38" t="s">
        <v>210</v>
      </c>
      <c r="W247" s="38" t="s">
        <v>210</v>
      </c>
      <c r="X247" s="38" t="s">
        <v>210</v>
      </c>
    </row>
    <row r="248" spans="3:24" x14ac:dyDescent="0.2">
      <c r="C248" s="78"/>
    </row>
    <row r="249" spans="3:24" x14ac:dyDescent="0.2">
      <c r="C249" s="78" t="s">
        <v>442</v>
      </c>
      <c r="Q249" s="167">
        <f t="shared" ref="Q249:X249" si="30">Q126</f>
        <v>94</v>
      </c>
      <c r="R249" s="167">
        <f t="shared" si="30"/>
        <v>104</v>
      </c>
      <c r="S249" s="167">
        <f t="shared" si="30"/>
        <v>138</v>
      </c>
      <c r="T249" s="167">
        <f t="shared" si="30"/>
        <v>144</v>
      </c>
      <c r="U249" s="167">
        <f t="shared" si="30"/>
        <v>153</v>
      </c>
      <c r="V249" s="167">
        <f t="shared" si="30"/>
        <v>218</v>
      </c>
      <c r="W249" s="167">
        <f t="shared" si="30"/>
        <v>219</v>
      </c>
      <c r="X249" s="167">
        <f t="shared" si="30"/>
        <v>227</v>
      </c>
    </row>
    <row r="250" spans="3:24" ht="28.15" customHeight="1" x14ac:dyDescent="0.2">
      <c r="G250" s="212" t="str">
        <f>"MXN/ Canal "&amp;Year.selected</f>
        <v>MXN/ Canal 2023</v>
      </c>
      <c r="I250" s="237"/>
      <c r="K250" s="158"/>
      <c r="L250" s="160"/>
      <c r="M250" s="200"/>
      <c r="N250" s="200"/>
      <c r="O250" s="200"/>
    </row>
    <row r="251" spans="3:24" ht="43.15" customHeight="1" x14ac:dyDescent="0.2">
      <c r="C251" s="54"/>
      <c r="D251" s="111" t="s">
        <v>411</v>
      </c>
      <c r="E251" s="110" t="str">
        <f>"Suscriptores en el perfil en el año "&amp;Year.selected</f>
        <v>Suscriptores en el perfil en el año 2023</v>
      </c>
      <c r="F251" s="1" t="s">
        <v>209</v>
      </c>
      <c r="G251" s="1" t="s">
        <v>211</v>
      </c>
      <c r="H251" s="1" t="s">
        <v>264</v>
      </c>
      <c r="K251" s="158"/>
      <c r="L251" s="201"/>
      <c r="M251" s="200"/>
      <c r="N251" s="200"/>
      <c r="O251" s="200"/>
    </row>
    <row r="252" spans="3:24" x14ac:dyDescent="0.2">
      <c r="C252" s="73">
        <v>1</v>
      </c>
      <c r="D252" s="174">
        <v>94</v>
      </c>
      <c r="E252" s="210">
        <f>SUMIFS($K$127:$K$246,$H$127:$H$246,D252,$F$127:$F$246,"Solo STAR")</f>
        <v>739.33859999999993</v>
      </c>
      <c r="F252" s="104">
        <f>IFERROR(AVERAGEIFS($I$127:$I$246,$H$127:$H$246,$D252,$F$127:$F$246,"Solo STAR"),"")</f>
        <v>250.25108804820906</v>
      </c>
      <c r="G252" s="96">
        <f>IFERROR(F252/$D252,"")</f>
        <v>2.6622456175341389</v>
      </c>
      <c r="H252" s="128">
        <f>G252</f>
        <v>2.6622456175341389</v>
      </c>
      <c r="K252" s="159"/>
      <c r="L252" s="201"/>
      <c r="M252" s="198"/>
      <c r="N252" s="198"/>
      <c r="O252" s="198"/>
    </row>
    <row r="253" spans="3:24" x14ac:dyDescent="0.2">
      <c r="C253" s="72">
        <f>C252+1</f>
        <v>2</v>
      </c>
      <c r="D253" s="174">
        <v>153</v>
      </c>
      <c r="E253" s="210">
        <f t="shared" ref="E253" si="31">SUMIFS($K$127:$K$246,$H$127:$H$246,D253,$F$127:$F$246,"Solo STAR")</f>
        <v>796.21079999999995</v>
      </c>
      <c r="F253" s="104">
        <f t="shared" ref="F253" si="32">IFERROR(AVERAGEIFS($I$127:$I$246,$H$127:$H$246,$D253,$F$127:$F$246,"Solo STAR"),"")</f>
        <v>300.46869768999005</v>
      </c>
      <c r="G253" s="96">
        <f>IFERROR(F253/$D253,"")</f>
        <v>1.9638476973201964</v>
      </c>
      <c r="H253" s="128">
        <f>G253</f>
        <v>1.9638476973201964</v>
      </c>
      <c r="K253" s="160"/>
      <c r="L253" s="201"/>
      <c r="M253" s="198"/>
      <c r="N253" s="198"/>
      <c r="O253" s="198"/>
    </row>
    <row r="254" spans="3:24" x14ac:dyDescent="0.2">
      <c r="C254" s="78" t="s">
        <v>255</v>
      </c>
    </row>
    <row r="255" spans="3:24" x14ac:dyDescent="0.2">
      <c r="C255" s="78"/>
    </row>
    <row r="256" spans="3:24" ht="24" x14ac:dyDescent="0.2">
      <c r="E256" s="112" t="s">
        <v>212</v>
      </c>
      <c r="H256" s="202"/>
      <c r="I256" s="142"/>
      <c r="J256" s="273"/>
      <c r="K256" s="273"/>
      <c r="L256" s="273"/>
      <c r="M256" s="273"/>
      <c r="N256" s="273"/>
    </row>
    <row r="257" spans="1:51" ht="41.25" customHeight="1" x14ac:dyDescent="0.2">
      <c r="C257" s="54"/>
      <c r="D257" s="111" t="s">
        <v>424</v>
      </c>
      <c r="E257" s="111" t="s">
        <v>423</v>
      </c>
      <c r="F257" s="111" t="s">
        <v>213</v>
      </c>
      <c r="G257" s="111" t="s">
        <v>425</v>
      </c>
      <c r="H257" s="111" t="s">
        <v>468</v>
      </c>
      <c r="I257" s="200" t="s">
        <v>260</v>
      </c>
      <c r="J257" s="197" t="s">
        <v>261</v>
      </c>
      <c r="K257" s="196" t="s">
        <v>262</v>
      </c>
      <c r="L257" s="196">
        <v>2020</v>
      </c>
      <c r="M257" s="196">
        <v>2021</v>
      </c>
      <c r="N257" s="196">
        <v>2022</v>
      </c>
    </row>
    <row r="258" spans="1:51" x14ac:dyDescent="0.2">
      <c r="A258" s="180">
        <v>5</v>
      </c>
      <c r="C258" s="73">
        <v>1</v>
      </c>
      <c r="D258" s="174">
        <v>94</v>
      </c>
      <c r="E258" s="104">
        <f t="shared" ref="E258:E265" si="33">EXP(TREND(LN($G$252:$G$253),LN($D$252:$D$253),LN(D258)))</f>
        <v>2.6622456175341389</v>
      </c>
      <c r="F258" s="116">
        <f>D258*E258</f>
        <v>250.25108804820906</v>
      </c>
      <c r="G258" s="113">
        <f>F258</f>
        <v>250.25108804820906</v>
      </c>
      <c r="H258" s="238">
        <f>SUMIFS(K127:K239,H127:H239,D258)</f>
        <v>10123.251599999998</v>
      </c>
      <c r="I258" s="198"/>
      <c r="J258" s="198"/>
      <c r="K258" s="198"/>
      <c r="L258" s="198"/>
      <c r="M258" s="198"/>
      <c r="N258" s="199"/>
    </row>
    <row r="259" spans="1:51" x14ac:dyDescent="0.2">
      <c r="A259" s="180">
        <v>20</v>
      </c>
      <c r="C259" s="72">
        <f>C258+1</f>
        <v>2</v>
      </c>
      <c r="D259" s="174">
        <v>104</v>
      </c>
      <c r="E259" s="104">
        <f t="shared" si="33"/>
        <v>2.4993393702490576</v>
      </c>
      <c r="F259" s="116">
        <f t="shared" ref="F259:F265" si="34">D259*E259</f>
        <v>259.93129450590197</v>
      </c>
      <c r="G259" s="113">
        <f t="shared" ref="G259:G265" si="35">F259</f>
        <v>259.93129450590197</v>
      </c>
      <c r="H259" s="238">
        <f t="shared" ref="H259:H265" si="36">SUMIFS(K128:K240,H128:H240,D259)</f>
        <v>12625.6284</v>
      </c>
      <c r="I259" s="198"/>
      <c r="J259" s="198"/>
      <c r="K259" s="198"/>
      <c r="L259" s="198"/>
      <c r="M259" s="198"/>
      <c r="N259" s="199"/>
    </row>
    <row r="260" spans="1:51" x14ac:dyDescent="0.2">
      <c r="A260" s="180">
        <v>30</v>
      </c>
      <c r="C260" s="72">
        <f t="shared" ref="C260:C265" si="37">1+C259</f>
        <v>3</v>
      </c>
      <c r="D260" s="174">
        <v>138</v>
      </c>
      <c r="E260" s="104">
        <f t="shared" si="33"/>
        <v>2.0945807524030502</v>
      </c>
      <c r="F260" s="116">
        <f>D260*E260</f>
        <v>289.05214383162092</v>
      </c>
      <c r="G260" s="113">
        <f t="shared" si="35"/>
        <v>289.05214383162092</v>
      </c>
      <c r="H260" s="238">
        <f t="shared" si="36"/>
        <v>202010.05440000008</v>
      </c>
      <c r="I260" s="198"/>
      <c r="J260" s="198"/>
      <c r="K260" s="198"/>
      <c r="L260" s="198"/>
      <c r="M260" s="198"/>
      <c r="N260" s="199"/>
    </row>
    <row r="261" spans="1:51" x14ac:dyDescent="0.2">
      <c r="A261" s="180">
        <v>40</v>
      </c>
      <c r="C261" s="72">
        <f t="shared" si="37"/>
        <v>4</v>
      </c>
      <c r="D261" s="174">
        <v>144</v>
      </c>
      <c r="E261" s="104">
        <f t="shared" si="33"/>
        <v>2.0396355528791261</v>
      </c>
      <c r="F261" s="116">
        <f t="shared" si="34"/>
        <v>293.70751961459416</v>
      </c>
      <c r="G261" s="113">
        <f t="shared" si="35"/>
        <v>293.70751961459416</v>
      </c>
      <c r="H261" s="238">
        <f t="shared" si="36"/>
        <v>256721.11080000002</v>
      </c>
      <c r="I261" s="198"/>
      <c r="J261" s="198"/>
      <c r="K261" s="198"/>
      <c r="L261" s="198"/>
      <c r="M261" s="198"/>
      <c r="N261" s="199"/>
    </row>
    <row r="262" spans="1:51" x14ac:dyDescent="0.2">
      <c r="A262" s="180">
        <v>50</v>
      </c>
      <c r="C262" s="72">
        <f t="shared" si="37"/>
        <v>5</v>
      </c>
      <c r="D262" s="174">
        <v>153</v>
      </c>
      <c r="E262" s="104">
        <f t="shared" si="33"/>
        <v>1.9638476973201957</v>
      </c>
      <c r="F262" s="116">
        <f>D262*E262</f>
        <v>300.46869768998994</v>
      </c>
      <c r="G262" s="113">
        <f t="shared" si="35"/>
        <v>300.46869768998994</v>
      </c>
      <c r="H262" s="238">
        <f t="shared" si="36"/>
        <v>12796.244999999997</v>
      </c>
      <c r="I262" s="198"/>
      <c r="J262" s="198"/>
      <c r="K262" s="198"/>
      <c r="L262" s="198"/>
      <c r="M262" s="198"/>
      <c r="N262" s="199"/>
    </row>
    <row r="263" spans="1:51" x14ac:dyDescent="0.2">
      <c r="A263" s="180">
        <v>60</v>
      </c>
      <c r="C263" s="72">
        <f t="shared" si="37"/>
        <v>6</v>
      </c>
      <c r="D263" s="174">
        <v>218</v>
      </c>
      <c r="E263" s="104">
        <f t="shared" si="33"/>
        <v>1.5742286514902193</v>
      </c>
      <c r="F263" s="116">
        <f t="shared" si="34"/>
        <v>343.18184602486781</v>
      </c>
      <c r="G263" s="113">
        <f t="shared" si="35"/>
        <v>343.18184602486781</v>
      </c>
      <c r="H263" s="238">
        <f t="shared" si="36"/>
        <v>84625.833599999998</v>
      </c>
      <c r="I263" s="198"/>
      <c r="J263" s="198"/>
      <c r="K263" s="198"/>
      <c r="L263" s="198"/>
      <c r="M263" s="198"/>
      <c r="N263" s="199"/>
    </row>
    <row r="264" spans="1:51" x14ac:dyDescent="0.2">
      <c r="A264" s="180">
        <v>70</v>
      </c>
      <c r="C264" s="72">
        <f t="shared" si="37"/>
        <v>7</v>
      </c>
      <c r="D264" s="174">
        <v>219</v>
      </c>
      <c r="E264" s="104">
        <f t="shared" si="33"/>
        <v>1.5697350868207103</v>
      </c>
      <c r="F264" s="116">
        <f t="shared" si="34"/>
        <v>343.77198401373556</v>
      </c>
      <c r="G264" s="113">
        <f t="shared" si="35"/>
        <v>343.77198401373556</v>
      </c>
      <c r="H264" s="238">
        <f t="shared" si="36"/>
        <v>12113.7786</v>
      </c>
      <c r="I264" s="198"/>
      <c r="J264" s="198"/>
      <c r="K264" s="198"/>
      <c r="L264" s="198"/>
      <c r="M264" s="198"/>
      <c r="N264" s="199"/>
    </row>
    <row r="265" spans="1:51" ht="12.75" thickBot="1" x14ac:dyDescent="0.25">
      <c r="A265" s="180">
        <v>100</v>
      </c>
      <c r="C265" s="72">
        <f t="shared" si="37"/>
        <v>8</v>
      </c>
      <c r="D265" s="174">
        <v>227</v>
      </c>
      <c r="E265" s="104">
        <f t="shared" si="33"/>
        <v>1.534949806355558</v>
      </c>
      <c r="F265" s="116">
        <f t="shared" si="34"/>
        <v>348.43360604271169</v>
      </c>
      <c r="G265" s="113">
        <f t="shared" si="35"/>
        <v>348.43360604271169</v>
      </c>
      <c r="H265" s="238">
        <f t="shared" si="36"/>
        <v>5118.4979999999996</v>
      </c>
      <c r="I265" s="198"/>
      <c r="J265" s="198"/>
      <c r="K265" s="198"/>
      <c r="L265" s="198"/>
      <c r="M265" s="198"/>
      <c r="N265" s="199"/>
    </row>
    <row r="266" spans="1:51" x14ac:dyDescent="0.2">
      <c r="C266" s="38"/>
      <c r="D266" s="38"/>
      <c r="E266" s="38"/>
      <c r="F266" s="38"/>
      <c r="G266" s="38"/>
      <c r="H266" s="205"/>
      <c r="I266" s="147"/>
    </row>
    <row r="267" spans="1:51" x14ac:dyDescent="0.2">
      <c r="E267" s="181"/>
    </row>
    <row r="268" spans="1:51" ht="12.75" thickBot="1" x14ac:dyDescent="0.25"/>
    <row r="269" spans="1:51" x14ac:dyDescent="0.2">
      <c r="D269" s="82"/>
      <c r="E269" s="82"/>
      <c r="F269" s="82"/>
      <c r="G269" s="82"/>
      <c r="H269" s="82"/>
    </row>
    <row r="270" spans="1:51" x14ac:dyDescent="0.2">
      <c r="A270" s="76" t="s">
        <v>150</v>
      </c>
      <c r="B270" s="76" t="s">
        <v>149</v>
      </c>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row>
  </sheetData>
  <mergeCells count="1">
    <mergeCell ref="J256:N256"/>
  </mergeCells>
  <conditionalFormatting sqref="Q154:U246 W154:X246">
    <cfRule type="colorScale" priority="391">
      <colorScale>
        <cfvo type="min"/>
        <cfvo type="max"/>
        <color rgb="FFFCFCFF"/>
        <color rgb="FF63BE7B"/>
      </colorScale>
    </cfRule>
  </conditionalFormatting>
  <conditionalFormatting sqref="Q127:X246">
    <cfRule type="colorScale" priority="393">
      <colorScale>
        <cfvo type="min"/>
        <cfvo type="max"/>
        <color rgb="FFFCFCFF"/>
        <color rgb="FF63BE7B"/>
      </colorScale>
    </cfRule>
  </conditionalFormatting>
  <pageMargins left="0.7" right="0.7" top="0.75" bottom="0.75" header="0.3" footer="0.3"/>
  <pageSetup orientation="portrait" r:id="rId1"/>
  <ignoredErrors>
    <ignoredError sqref="C128:C246 Q242:Q246 C9:C121 F127:F239 G127:G239 H127:H239 I127:I239 K127:K239 F258:F265 E258:E265 C259:C265 C253 E252:F253 G252:G253" unlockedFormula="1"/>
    <ignoredError sqref="M127:M221" evalError="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A1:HW38"/>
  <sheetViews>
    <sheetView showGridLines="0" zoomScale="130" zoomScaleNormal="130" workbookViewId="0">
      <pane xSplit="8" ySplit="2" topLeftCell="I3" activePane="bottomRight" state="frozen"/>
      <selection activeCell="I79" sqref="I79"/>
      <selection pane="topRight" activeCell="I79" sqref="I79"/>
      <selection pane="bottomLeft" activeCell="I79" sqref="I79"/>
      <selection pane="bottomRight" sqref="A1:XFD1048576"/>
    </sheetView>
  </sheetViews>
  <sheetFormatPr baseColWidth="10" defaultRowHeight="12" outlineLevelCol="1" x14ac:dyDescent="0.2"/>
  <cols>
    <col min="1" max="1" width="3" bestFit="1" customWidth="1"/>
    <col min="2" max="2" width="4.7109375" customWidth="1"/>
    <col min="3" max="3" width="29.42578125" customWidth="1"/>
    <col min="4" max="4" width="4.28515625" customWidth="1"/>
    <col min="5" max="5" width="7.7109375" customWidth="1"/>
    <col min="6" max="6" width="9.5703125" customWidth="1"/>
    <col min="7" max="7" width="45.85546875" bestFit="1" customWidth="1"/>
    <col min="8" max="8" width="26.7109375" customWidth="1"/>
    <col min="9" max="9" width="13.5703125" bestFit="1" customWidth="1"/>
    <col min="10" max="10" width="24.28515625" bestFit="1" customWidth="1"/>
    <col min="11" max="11" width="32.140625" bestFit="1" customWidth="1"/>
    <col min="12" max="12" width="25.28515625" bestFit="1" customWidth="1"/>
    <col min="13" max="13" width="24.28515625" bestFit="1" customWidth="1"/>
    <col min="14" max="14" width="32.140625" bestFit="1" customWidth="1"/>
    <col min="15" max="15" width="24.28515625" bestFit="1" customWidth="1"/>
    <col min="16" max="16" width="32.140625" bestFit="1" customWidth="1"/>
    <col min="17" max="17" width="23.28515625" bestFit="1" customWidth="1"/>
    <col min="18" max="18" width="43.42578125" bestFit="1" customWidth="1"/>
    <col min="19" max="19" width="38.5703125" bestFit="1" customWidth="1"/>
    <col min="20" max="20" width="46.28515625" bestFit="1" customWidth="1"/>
    <col min="21" max="21" width="39.5703125" bestFit="1" customWidth="1"/>
    <col min="22" max="22" width="38.5703125" bestFit="1" customWidth="1"/>
    <col min="23" max="23" width="46.28515625" bestFit="1" customWidth="1"/>
    <col min="24" max="24" width="38.5703125" bestFit="1" customWidth="1"/>
    <col min="25" max="25" width="46.28515625" bestFit="1" customWidth="1"/>
    <col min="26" max="26" width="37.5703125" bestFit="1" customWidth="1"/>
    <col min="27" max="27" width="45.42578125" bestFit="1" customWidth="1"/>
    <col min="28" max="28" width="21.5703125" bestFit="1" customWidth="1"/>
    <col min="29" max="29" width="59.85546875" bestFit="1" customWidth="1"/>
    <col min="30" max="30" width="67.85546875" bestFit="1" customWidth="1"/>
    <col min="31" max="31" width="60.85546875" bestFit="1" customWidth="1"/>
    <col min="32" max="32" width="59.85546875" bestFit="1" customWidth="1"/>
    <col min="33" max="33" width="67.85546875" bestFit="1" customWidth="1"/>
    <col min="34" max="34" width="59.85546875" bestFit="1" customWidth="1"/>
    <col min="35" max="35" width="67.85546875" bestFit="1" customWidth="1"/>
    <col min="36" max="36" width="58.85546875" bestFit="1" customWidth="1"/>
    <col min="37" max="37" width="66.7109375" bestFit="1" customWidth="1"/>
    <col min="38" max="38" width="38.5703125" bestFit="1" customWidth="1"/>
    <col min="39" max="39" width="46.42578125" bestFit="1" customWidth="1"/>
    <col min="40" max="40" width="39.5703125" bestFit="1" customWidth="1"/>
    <col min="41" max="41" width="38.5703125" bestFit="1" customWidth="1"/>
    <col min="42" max="42" width="46.42578125" bestFit="1" customWidth="1"/>
    <col min="43" max="43" width="38.5703125" bestFit="1" customWidth="1"/>
    <col min="44" max="44" width="46.42578125" bestFit="1" customWidth="1"/>
    <col min="45" max="45" width="37.5703125" bestFit="1" customWidth="1"/>
    <col min="46" max="46" width="45.42578125" bestFit="1" customWidth="1"/>
    <col min="47" max="47" width="39.85546875" bestFit="1" customWidth="1"/>
    <col min="48" max="48" width="47.85546875" bestFit="1" customWidth="1"/>
    <col min="49" max="49" width="40.85546875" bestFit="1" customWidth="1"/>
    <col min="50" max="50" width="39.85546875" bestFit="1" customWidth="1"/>
    <col min="51" max="51" width="47.85546875" bestFit="1" customWidth="1"/>
    <col min="52" max="52" width="39.85546875" bestFit="1" customWidth="1"/>
    <col min="53" max="53" width="47.85546875" bestFit="1" customWidth="1"/>
    <col min="54" max="54" width="38.85546875" bestFit="1" customWidth="1"/>
    <col min="55" max="55" width="46.85546875" bestFit="1" customWidth="1"/>
    <col min="56" max="56" width="61.28515625" bestFit="1" customWidth="1"/>
    <col min="57" max="57" width="69.28515625" bestFit="1" customWidth="1"/>
    <col min="58" max="58" width="62.42578125" bestFit="1" customWidth="1"/>
    <col min="59" max="59" width="61.28515625" bestFit="1" customWidth="1"/>
    <col min="60" max="60" width="69.28515625" bestFit="1" customWidth="1"/>
    <col min="61" max="61" width="61.28515625" bestFit="1" customWidth="1"/>
    <col min="62" max="62" width="69.28515625" bestFit="1" customWidth="1"/>
    <col min="63" max="63" width="60.28515625" bestFit="1" customWidth="1"/>
    <col min="64" max="64" width="68.28515625" bestFit="1" customWidth="1"/>
    <col min="65" max="65" width="10.7109375" bestFit="1" customWidth="1"/>
    <col min="66" max="66" width="22.28515625" bestFit="1" customWidth="1"/>
    <col min="67" max="67" width="29.5703125" bestFit="1" customWidth="1"/>
    <col min="68" max="68" width="23.28515625" bestFit="1" customWidth="1"/>
    <col min="69" max="69" width="22.28515625" bestFit="1" customWidth="1"/>
    <col min="70" max="70" width="29.5703125" bestFit="1" customWidth="1"/>
    <col min="71" max="71" width="22.28515625" bestFit="1" customWidth="1"/>
    <col min="72" max="72" width="29.5703125" bestFit="1" customWidth="1"/>
    <col min="73" max="73" width="21.28515625" bestFit="1" customWidth="1"/>
    <col min="74" max="74" width="28.5703125" bestFit="1" customWidth="1"/>
    <col min="75" max="75" width="35.85546875" bestFit="1" customWidth="1"/>
    <col min="76" max="76" width="43.85546875" bestFit="1" customWidth="1"/>
    <col min="77" max="77" width="37" bestFit="1" customWidth="1"/>
    <col min="78" max="78" width="35.85546875" bestFit="1" customWidth="1"/>
    <col min="79" max="79" width="43.85546875" bestFit="1" customWidth="1"/>
    <col min="80" max="80" width="35.85546875" bestFit="1" customWidth="1"/>
    <col min="81" max="81" width="43.85546875" bestFit="1" customWidth="1"/>
    <col min="82" max="82" width="34.85546875" bestFit="1" customWidth="1"/>
    <col min="83" max="83" width="42.85546875" bestFit="1" customWidth="1"/>
    <col min="84" max="84" width="18.5703125" bestFit="1" customWidth="1"/>
    <col min="85" max="85" width="57.42578125" bestFit="1" customWidth="1"/>
    <col min="86" max="86" width="65.28515625" bestFit="1" customWidth="1"/>
    <col min="87" max="87" width="58.42578125" bestFit="1" customWidth="1"/>
    <col min="88" max="88" width="57.42578125" bestFit="1" customWidth="1"/>
    <col min="89" max="89" width="65.28515625" bestFit="1" customWidth="1"/>
    <col min="90" max="90" width="57.42578125" bestFit="1" customWidth="1"/>
    <col min="91" max="91" width="65.28515625" bestFit="1" customWidth="1"/>
    <col min="92" max="92" width="56.28515625" bestFit="1" customWidth="1"/>
    <col min="93" max="93" width="64.28515625" bestFit="1" customWidth="1"/>
    <col min="94" max="94" width="35.85546875" bestFit="1" customWidth="1"/>
    <col min="95" max="95" width="43.85546875" bestFit="1" customWidth="1"/>
    <col min="96" max="96" width="37" bestFit="1" customWidth="1"/>
    <col min="97" max="97" width="35.85546875" bestFit="1" customWidth="1"/>
    <col min="98" max="98" width="43.85546875" bestFit="1" customWidth="1"/>
    <col min="99" max="99" width="35.85546875" bestFit="1" customWidth="1"/>
    <col min="100" max="100" width="43.85546875" bestFit="1" customWidth="1"/>
    <col min="101" max="101" width="34.85546875" bestFit="1" customWidth="1"/>
    <col min="102" max="102" width="42.85546875" bestFit="1" customWidth="1"/>
    <col min="103" max="103" width="37.42578125" bestFit="1" customWidth="1"/>
    <col min="104" max="104" width="45.28515625" bestFit="1" customWidth="1"/>
    <col min="105" max="105" width="38.42578125" bestFit="1" customWidth="1"/>
    <col min="106" max="121" width="28.7109375" bestFit="1" customWidth="1"/>
    <col min="122" max="220" width="10.7109375" hidden="1" customWidth="1" outlineLevel="1"/>
    <col min="221" max="221" width="16.7109375" customWidth="1" collapsed="1"/>
    <col min="222" max="222" width="12" bestFit="1" customWidth="1"/>
    <col min="223" max="223" width="11.85546875" bestFit="1" customWidth="1"/>
    <col min="224" max="224" width="22.7109375" customWidth="1"/>
    <col min="225" max="225" width="18.28515625" customWidth="1"/>
  </cols>
  <sheetData>
    <row r="1" spans="1:231" s="71" customFormat="1" ht="27.75" x14ac:dyDescent="0.2">
      <c r="D1" s="71" t="s">
        <v>251</v>
      </c>
    </row>
    <row r="2" spans="1:231" ht="36.4" customHeight="1" x14ac:dyDescent="0.2">
      <c r="A2" s="1"/>
      <c r="B2" s="1"/>
      <c r="C2" s="1" t="s">
        <v>134</v>
      </c>
      <c r="D2" s="1"/>
      <c r="E2" s="1"/>
      <c r="F2" s="1"/>
      <c r="G2" s="1" t="s">
        <v>135</v>
      </c>
      <c r="H2" s="100"/>
      <c r="I2" s="100" t="str">
        <f t="array" ref="I2:HL2">TRANSPOSE(vector.plans.names)</f>
        <v>TV Básico Plus</v>
      </c>
      <c r="J2" s="100" t="str">
        <v>TV Básico Plus Negocio</v>
      </c>
      <c r="K2" s="100" t="str">
        <v>TV Básico Plus + 100 Megas</v>
      </c>
      <c r="L2" s="100" t="str">
        <v>TV Básico Plus + 100 Megas Simetrico</v>
      </c>
      <c r="M2" s="100" t="str">
        <v>TV Básico Plus + 1000 Megas</v>
      </c>
      <c r="N2" s="100" t="str">
        <v>TV Básico Plus + 250 Megas</v>
      </c>
      <c r="O2" s="100" t="str">
        <v>TV Básico Plus + 250 Megas Simetrico</v>
      </c>
      <c r="P2" s="100" t="str">
        <v>TV Básico Plus + 500 Megas</v>
      </c>
      <c r="Q2" s="100" t="str">
        <v>TV Básico Plus + 500 Megas Simetrico</v>
      </c>
      <c r="R2" s="100" t="str">
        <v>TV Básico Plus + 60 Megas</v>
      </c>
      <c r="S2" s="100" t="str">
        <v>TV Básico Plus + 60 Megas Simetrico</v>
      </c>
      <c r="T2" s="100" t="str">
        <v>TV Básico Plus + HD + Telefonía + 100 Megas</v>
      </c>
      <c r="U2" s="100" t="str">
        <v>TV Básico Plus + HD + Telefonía + 100 Megas Simetrico</v>
      </c>
      <c r="V2" s="100" t="str">
        <v>TV Básico Plus + HD + Telefonía + 1000 Megas</v>
      </c>
      <c r="W2" s="100" t="str">
        <v>TV Básico Plus + HD + Telefonía + 250 Megas</v>
      </c>
      <c r="X2" s="100" t="str">
        <v>TV Básico Plus + HD + Telefonía + 250 Megas Simetrico</v>
      </c>
      <c r="Y2" s="100" t="str">
        <v>TV Básico Plus + HD + Telefonía + 500 Megas</v>
      </c>
      <c r="Z2" s="100" t="str">
        <v>TV Básico Plus + HD + Telefonía + 500 Megas Simetrico</v>
      </c>
      <c r="AA2" s="100" t="str">
        <v>TV Básico Plus + HD + Telefonía + 60 Megas</v>
      </c>
      <c r="AB2" s="100" t="str">
        <v>TV Básico Plus + HD + Telefonía + 60 Megas Simetrico</v>
      </c>
      <c r="AC2" s="100" t="str">
        <v>TV Básico Plus + HD Negocio + Telefonía Negocio + 100 Megas Negocio</v>
      </c>
      <c r="AD2" s="100" t="str">
        <v>TV Básico Plus + HD Negocio + Telefonía Negocio + 100 Megas Simetrico Negocio</v>
      </c>
      <c r="AE2" s="100" t="str">
        <v>TV Básico Plus + HD Negocio + Telefonía Negocio + 1000 Megas Negocio</v>
      </c>
      <c r="AF2" s="100" t="str">
        <v>TV Básico Plus + HD Negocio + Telefonía Negocio + 250 Megas Negocio</v>
      </c>
      <c r="AG2" s="100" t="str">
        <v>TV Básico Plus + HD Negocio + Telefonía Negocio + 250 Megas Simetrico Negocio</v>
      </c>
      <c r="AH2" s="100" t="str">
        <v>TV Básico Plus + HD Negocio + Telefonía Negocio + 500 Megas Negocio</v>
      </c>
      <c r="AI2" s="100" t="str">
        <v>TV Básico Plus + HD Negocio + Telefonía Negocio + 500 Megas Simetrico Negocio</v>
      </c>
      <c r="AJ2" s="100" t="str">
        <v>TV Básico Plus + HD Negocio + Telefonía Negocio + 60 Megas Negocio</v>
      </c>
      <c r="AK2" s="100" t="str">
        <v>TV Básico Plus + HD Negocio + Telefonía Negocio + 60 Megas Simetrico Negocio</v>
      </c>
      <c r="AL2" s="100" t="str">
        <v>TV Básico Plus Negocio + 100 Megas Negocio</v>
      </c>
      <c r="AM2" s="100" t="str">
        <v>TV Básico Plus Negocio + 100 Megas Simetrico Negocio</v>
      </c>
      <c r="AN2" s="100" t="str">
        <v>TV Básico Plus Negocio + 1000 Megas Negocio</v>
      </c>
      <c r="AO2" s="100" t="str">
        <v>TV Básico Plus Negocio + 250 Megas Negocio</v>
      </c>
      <c r="AP2" s="100" t="str">
        <v>TV Básico Plus Negocio + 250 Megas Simetrico Negocio</v>
      </c>
      <c r="AQ2" s="100" t="str">
        <v>TV Básico Plus Negocio + 500 Megas Negocio</v>
      </c>
      <c r="AR2" s="100" t="str">
        <v>TV Básico Plus Negocio + 500 Megas Simetrico Negocio</v>
      </c>
      <c r="AS2" s="100" t="str">
        <v>TV Básico Plus Negocio + 60 Megas Negocio</v>
      </c>
      <c r="AT2" s="100" t="str">
        <v>TV Básico Plus Negocio + 60 Megas Simetrico Negocio</v>
      </c>
      <c r="AU2" s="100" t="str">
        <v>TV Básico Plus Xview+ + Telefonía + 100 Megas</v>
      </c>
      <c r="AV2" s="100" t="str">
        <v>TV Básico Plus Xview+ + Telefonía + 100 Megas Simetrico</v>
      </c>
      <c r="AW2" s="100" t="str">
        <v>TV Básico Plus Xview+ + Telefonía + 1000 Megas</v>
      </c>
      <c r="AX2" s="100" t="str">
        <v>TV Básico Plus Xview+ + Telefonía + 250 Megas</v>
      </c>
      <c r="AY2" s="100" t="str">
        <v>TV Básico Plus Xview+ + Telefonía + 250 Megas Simetrico</v>
      </c>
      <c r="AZ2" s="100" t="str">
        <v>TV Básico Plus Xview+ + Telefonía + 500 Megas</v>
      </c>
      <c r="BA2" s="100" t="str">
        <v>TV Básico Plus Xview+ + Telefonía + 500 Megas Simetrico</v>
      </c>
      <c r="BB2" s="100" t="str">
        <v>TV Básico Plus Xview+ + Telefonía + 60 Megas</v>
      </c>
      <c r="BC2" s="100" t="str">
        <v>TV Básico Plus Xview+ + Telefonía + 60 Megas Simetrico</v>
      </c>
      <c r="BD2" s="100" t="str">
        <v>TV Básico Plus Xview+ Negocio + Telefonía Negocio + 100 Megas Negocio</v>
      </c>
      <c r="BE2" s="100" t="str">
        <v>TV Básico Plus Xview+ Negocio + Telefonía Negocio + 100 Megas Simetrico Negocio</v>
      </c>
      <c r="BF2" s="100" t="str">
        <v>TV Básico Plus Xview+ Negocio + Telefonía Negocio + 1000 Megas Negocio</v>
      </c>
      <c r="BG2" s="1" t="str">
        <v>TV Básico Plus Xview+ Negocio + Telefonía Negocio + 250 Megas Negocio</v>
      </c>
      <c r="BH2" s="1" t="str">
        <v>TV Básico Plus Xview+ Negocio + Telefonía Negocio + 250 Megas Simetrico Negocio</v>
      </c>
      <c r="BI2" s="1" t="str">
        <v>TV Básico Plus Xview+ Negocio + Telefonía Negocio + 500 Megas Negocio</v>
      </c>
      <c r="BJ2" s="1" t="str">
        <v>TV Básico Plus Xview+ Negocio + Telefonía Negocio + 500 Megas Simetrico Negocio</v>
      </c>
      <c r="BK2" s="1" t="str">
        <v>TV Básico Plus Xview+ Negocio + Telefonía Negocio + 60 Megas Negocio</v>
      </c>
      <c r="BL2" s="1" t="str">
        <v>TV Básico Plus Xview+ Negocio + Telefonía Negocio + 60 Megas Simetrico Negocio</v>
      </c>
      <c r="BM2" s="1" t="str">
        <v>TV Conecta</v>
      </c>
      <c r="BN2" s="1" t="str">
        <v>TV Conecta Negocio</v>
      </c>
      <c r="BO2" s="1" t="str">
        <v>TV Conecta + 100 Megas</v>
      </c>
      <c r="BP2" s="1" t="str">
        <v>TV Conecta + 100 Megas Simetrico</v>
      </c>
      <c r="BQ2" s="1" t="str">
        <v>TV Conecta + 1000 Megas</v>
      </c>
      <c r="BR2" s="1" t="str">
        <v>TV Conecta + 250 Megas</v>
      </c>
      <c r="BS2" s="1" t="str">
        <v>TV Conecta + 250 Megas Simetrico</v>
      </c>
      <c r="BT2" s="1" t="str">
        <v>TV Conecta + 500 Megas</v>
      </c>
      <c r="BU2" s="1" t="str">
        <v>TV Conecta + 500 Megas Simetrico</v>
      </c>
      <c r="BV2" s="1" t="str">
        <v>TV Conecta + 60 Megas</v>
      </c>
      <c r="BW2" s="1" t="str">
        <v>TV Conecta + 60 Megas Simetrico</v>
      </c>
      <c r="BX2" s="1" t="str">
        <v>TV Conecta + HD + Telefonía + 100 Megas</v>
      </c>
      <c r="BY2" s="1" t="str">
        <v>TV Conecta + HD + Telefonía + 100 Megas Simetrico</v>
      </c>
      <c r="BZ2" s="1" t="str">
        <v>TV Conecta + HD + Telefonía + 1000 Megas</v>
      </c>
      <c r="CA2" s="1" t="str">
        <v>TV Conecta + HD + Telefonía + 250 Megas</v>
      </c>
      <c r="CB2" s="1" t="str">
        <v>TV Conecta + HD + Telefonía + 250 Megas Simetrico</v>
      </c>
      <c r="CC2" s="1" t="str">
        <v>TV Conecta + HD + Telefonía + 500 Megas</v>
      </c>
      <c r="CD2" s="1" t="str">
        <v>TV Conecta + HD + Telefonía + 500 Megas Simetrico</v>
      </c>
      <c r="CE2" s="1" t="str">
        <v>TV Conecta + HD + Telefonía + 60 Megas</v>
      </c>
      <c r="CF2" s="1" t="str">
        <v>TV Conecta + HD + Telefonía + 60 Megas Simetrico</v>
      </c>
      <c r="CG2" s="1" t="str">
        <v>TV Conecta + HD Negocio + Telefonía Negocio + 100 Megas Negocio</v>
      </c>
      <c r="CH2" s="1" t="str">
        <v>TV Conecta + HD Negocio + Telefonía Negocio + 100 Megas Simetrico Negocio</v>
      </c>
      <c r="CI2" s="1" t="str">
        <v>TV Conecta + HD Negocio + Telefonía Negocio + 1000 Megas Negocio</v>
      </c>
      <c r="CJ2" s="1" t="str">
        <v>TV Conecta + HD Negocio + Telefonía Negocio + 250 Megas Negocio</v>
      </c>
      <c r="CK2" s="1" t="str">
        <v>TV Conecta + HD Negocio + Telefonía Negocio + 250 Megas Simetrico Negocio</v>
      </c>
      <c r="CL2" s="1" t="str">
        <v>TV Conecta + HD Negocio + Telefonía Negocio + 500 Megas Negocio</v>
      </c>
      <c r="CM2" s="1" t="str">
        <v>TV Conecta + HD Negocio + Telefonía Negocio + 500 Megas Simetrico Negocio</v>
      </c>
      <c r="CN2" s="1" t="str">
        <v>TV Conecta + HD Negocio + Telefonía Negocio + 60 Megas Negocio</v>
      </c>
      <c r="CO2" s="1" t="str">
        <v>TV Conecta + HD Negocio + Telefonía Negocio + 60 Megas Simetrico Negocio</v>
      </c>
      <c r="CP2" s="1" t="str">
        <v>TV Conecta Negocio + 100 Megas Negocio</v>
      </c>
      <c r="CQ2" s="1" t="str">
        <v>TV Conecta Negocio + 100 Megas Simetrico Negocio</v>
      </c>
      <c r="CR2" s="1" t="str">
        <v>TV Conecta Negocio + 1000 Megas Negocio</v>
      </c>
      <c r="CS2" s="1" t="str">
        <v>TV Conecta Negocio + 250 Megas Negocio</v>
      </c>
      <c r="CT2" s="1" t="str">
        <v>TV Conecta Negocio + 250 Megas Simetrico Negocio</v>
      </c>
      <c r="CU2" s="1" t="str">
        <v>TV Conecta Negocio + 500 Megas Negocio</v>
      </c>
      <c r="CV2" s="1" t="str">
        <v>TV Conecta Negocio + 500 Megas Simetrico Negocio</v>
      </c>
      <c r="CW2" s="1" t="str">
        <v>TV Conecta Negocio + 60 Megas Negocio</v>
      </c>
      <c r="CX2" s="1" t="str">
        <v>TV Conecta Negocio + 60 Megas Simetrico Negocio</v>
      </c>
      <c r="CY2" s="1" t="str">
        <v>TV Conecta Xview+ + Telefonía + 100 Megas</v>
      </c>
      <c r="CZ2" s="1" t="str">
        <v>TV Conecta Xview+ + Telefonía + 100 Megas Simetrico</v>
      </c>
      <c r="DA2" s="1" t="str">
        <v>TV Conecta Xview+ + Telefonía + 1000 Megas</v>
      </c>
      <c r="DB2" s="1" t="str">
        <v>TV Conecta Xview+ + Telefonía + 250 Megas</v>
      </c>
      <c r="DC2" s="1" t="str">
        <v>TV Conecta Xview+ + Telefonía + 250 Megas Simetrico</v>
      </c>
      <c r="DD2" s="1" t="str">
        <v>TV Conecta Xview+ + Telefonía + 500 Megas</v>
      </c>
      <c r="DE2" s="1" t="str">
        <v>TV Conecta Xview+ + Telefonía + 500 Megas Simetrico</v>
      </c>
      <c r="DF2" s="1" t="str">
        <v>TV Conecta Xview+ + Telefonía + 60 Megas</v>
      </c>
      <c r="DG2" s="1" t="str">
        <v>TV Conecta Xview+ + Telefonía + 60 Megas Simetrico</v>
      </c>
      <c r="DH2" s="1" t="str">
        <v>TV Conecta Xview+ Negocio + Telefonía Negocio + 100 Megas Negocio</v>
      </c>
      <c r="DI2" s="1" t="str">
        <v>TV Conecta Xview+ Negocio + Telefonía Negocio + 100 Megas Simetrico Negocio</v>
      </c>
      <c r="DJ2" s="1" t="str">
        <v>TV Conecta Xview+ Negocio + Telefonía Negocio + 1000 Megas Negocio</v>
      </c>
      <c r="DK2" s="1" t="str">
        <v>TV Conecta Xview+ Negocio + Telefonía Negocio + 250 Megas Negocio</v>
      </c>
      <c r="DL2" s="1" t="str">
        <v>TV Conecta Xview+ Negocio + Telefonía Negocio + 250 Megas Simetrico Negocio</v>
      </c>
      <c r="DM2" s="1" t="str">
        <v>TV Conecta Xview+ Negocio + Telefonía Negocio + 500 Megas Negocio</v>
      </c>
      <c r="DN2" s="1" t="str">
        <v>TV Conecta Xview+ Negocio + Telefonía Negocio + 500 Megas Simetrico Negocio</v>
      </c>
      <c r="DO2" s="1" t="str">
        <v>TV Conecta Xview+ Negocio + Telefonía Negocio + 60 Megas Negocio</v>
      </c>
      <c r="DP2" s="1" t="str">
        <v>TV Conecta Xview+ Negocio + Telefonía Negocio + 60 Megas Simetrico Negocio</v>
      </c>
      <c r="DQ2" s="1" t="str">
        <v>Full Connected Home</v>
      </c>
      <c r="DR2" s="1">
        <v>0</v>
      </c>
      <c r="DS2" s="1">
        <v>0</v>
      </c>
      <c r="DT2" s="1">
        <v>0</v>
      </c>
      <c r="DU2" s="1">
        <v>0</v>
      </c>
      <c r="DV2" s="1">
        <v>0</v>
      </c>
      <c r="DW2" s="1">
        <v>0</v>
      </c>
      <c r="DX2" s="1">
        <v>0</v>
      </c>
      <c r="DY2" s="1">
        <v>0</v>
      </c>
      <c r="DZ2" s="1">
        <v>0</v>
      </c>
      <c r="EA2" s="1">
        <v>0</v>
      </c>
      <c r="EB2" s="1">
        <v>0</v>
      </c>
      <c r="EC2" s="1">
        <v>0</v>
      </c>
      <c r="ED2" s="1">
        <v>0</v>
      </c>
      <c r="EE2" s="1">
        <v>0</v>
      </c>
      <c r="EF2" s="1">
        <v>0</v>
      </c>
      <c r="EG2" s="1">
        <v>0</v>
      </c>
      <c r="EH2" s="1">
        <v>0</v>
      </c>
      <c r="EI2" s="1">
        <v>0</v>
      </c>
      <c r="EJ2" s="1">
        <v>0</v>
      </c>
      <c r="EK2" s="1">
        <v>0</v>
      </c>
      <c r="EL2" s="1">
        <v>0</v>
      </c>
      <c r="EM2" s="1">
        <v>0</v>
      </c>
      <c r="EN2" s="1">
        <v>0</v>
      </c>
      <c r="EO2" s="1">
        <v>0</v>
      </c>
      <c r="EP2" s="1">
        <v>0</v>
      </c>
      <c r="EQ2" s="1">
        <v>0</v>
      </c>
      <c r="ER2" s="1">
        <v>0</v>
      </c>
      <c r="ES2" s="1">
        <v>0</v>
      </c>
      <c r="ET2" s="1">
        <v>0</v>
      </c>
      <c r="EU2" s="1">
        <v>0</v>
      </c>
      <c r="EV2" s="1">
        <v>0</v>
      </c>
      <c r="EW2" s="1">
        <v>0</v>
      </c>
      <c r="EX2" s="1">
        <v>0</v>
      </c>
      <c r="EY2" s="1">
        <v>0</v>
      </c>
      <c r="EZ2" s="1">
        <v>0</v>
      </c>
      <c r="FA2" s="1">
        <v>0</v>
      </c>
      <c r="FB2" s="1">
        <v>0</v>
      </c>
      <c r="FC2" s="1">
        <v>0</v>
      </c>
      <c r="FD2" s="1">
        <v>0</v>
      </c>
      <c r="FE2" s="1">
        <v>0</v>
      </c>
      <c r="FF2" s="1">
        <v>0</v>
      </c>
      <c r="FG2" s="1">
        <v>0</v>
      </c>
      <c r="FH2" s="1">
        <v>0</v>
      </c>
      <c r="FI2" s="1">
        <v>0</v>
      </c>
      <c r="FJ2" s="1">
        <v>0</v>
      </c>
      <c r="FK2" s="1">
        <v>0</v>
      </c>
      <c r="FL2" s="1">
        <v>0</v>
      </c>
      <c r="FM2" s="1">
        <v>0</v>
      </c>
      <c r="FN2" s="1">
        <v>0</v>
      </c>
      <c r="FO2" s="1">
        <v>0</v>
      </c>
      <c r="FP2" s="1">
        <v>0</v>
      </c>
      <c r="FQ2" s="1">
        <v>0</v>
      </c>
      <c r="FR2" s="1">
        <v>0</v>
      </c>
      <c r="FS2" s="1">
        <v>0</v>
      </c>
      <c r="FT2" s="1">
        <v>0</v>
      </c>
      <c r="FU2" s="1">
        <v>0</v>
      </c>
      <c r="FV2" s="1">
        <v>0</v>
      </c>
      <c r="FW2" s="1">
        <v>0</v>
      </c>
      <c r="FX2" s="1">
        <v>0</v>
      </c>
      <c r="FY2" s="1">
        <v>0</v>
      </c>
      <c r="FZ2" s="1">
        <v>0</v>
      </c>
      <c r="GA2" s="1">
        <v>0</v>
      </c>
      <c r="GB2" s="1" t="e">
        <v>#N/A</v>
      </c>
      <c r="GC2" s="1" t="e">
        <v>#N/A</v>
      </c>
      <c r="GD2" s="1" t="e">
        <v>#N/A</v>
      </c>
      <c r="GE2" s="1" t="e">
        <v>#N/A</v>
      </c>
      <c r="GF2" s="1" t="e">
        <v>#N/A</v>
      </c>
      <c r="GG2" s="1" t="e">
        <v>#N/A</v>
      </c>
      <c r="GH2" s="1" t="e">
        <v>#N/A</v>
      </c>
      <c r="GI2" s="1" t="e">
        <v>#N/A</v>
      </c>
      <c r="GJ2" s="1" t="e">
        <v>#N/A</v>
      </c>
      <c r="GK2" s="1" t="e">
        <v>#N/A</v>
      </c>
      <c r="GL2" s="1" t="e">
        <v>#N/A</v>
      </c>
      <c r="GM2" s="1" t="e">
        <v>#N/A</v>
      </c>
      <c r="GN2" s="1" t="e">
        <v>#N/A</v>
      </c>
      <c r="GO2" s="1" t="e">
        <v>#N/A</v>
      </c>
      <c r="GP2" s="1" t="e">
        <v>#N/A</v>
      </c>
      <c r="GQ2" s="1" t="e">
        <v>#N/A</v>
      </c>
      <c r="GR2" s="1" t="e">
        <v>#N/A</v>
      </c>
      <c r="GS2" s="1" t="e">
        <v>#N/A</v>
      </c>
      <c r="GT2" s="1" t="e">
        <v>#N/A</v>
      </c>
      <c r="GU2" s="1" t="e">
        <v>#N/A</v>
      </c>
      <c r="GV2" s="1" t="e">
        <v>#N/A</v>
      </c>
      <c r="GW2" s="1" t="e">
        <v>#N/A</v>
      </c>
      <c r="GX2" s="1" t="e">
        <v>#N/A</v>
      </c>
      <c r="GY2" s="1" t="e">
        <v>#N/A</v>
      </c>
      <c r="GZ2" s="1" t="e">
        <v>#N/A</v>
      </c>
      <c r="HA2" s="1" t="e">
        <v>#N/A</v>
      </c>
      <c r="HB2" s="1" t="e">
        <v>#N/A</v>
      </c>
      <c r="HC2" s="1" t="e">
        <v>#N/A</v>
      </c>
      <c r="HD2" s="1" t="e">
        <v>#N/A</v>
      </c>
      <c r="HE2" s="1" t="e">
        <v>#N/A</v>
      </c>
      <c r="HF2" s="1" t="e">
        <v>#N/A</v>
      </c>
      <c r="HG2" s="1" t="e">
        <v>#N/A</v>
      </c>
      <c r="HH2" s="1" t="e">
        <v>#N/A</v>
      </c>
      <c r="HI2" s="1" t="e">
        <v>#N/A</v>
      </c>
      <c r="HJ2" s="1" t="e">
        <v>#N/A</v>
      </c>
      <c r="HK2" s="1" t="e">
        <v>#N/A</v>
      </c>
      <c r="HL2" s="1" t="e">
        <v>#N/A</v>
      </c>
      <c r="HP2" s="1" t="s">
        <v>196</v>
      </c>
      <c r="HQ2" s="1" t="s">
        <v>137</v>
      </c>
      <c r="HR2" s="1"/>
      <c r="HS2" s="1"/>
      <c r="HT2" s="1"/>
      <c r="HU2" s="1"/>
      <c r="HV2" s="1"/>
      <c r="HW2" s="1"/>
    </row>
    <row r="3" spans="1:231" x14ac:dyDescent="0.2">
      <c r="A3" s="76">
        <v>1</v>
      </c>
      <c r="B3" s="76" t="s">
        <v>193</v>
      </c>
      <c r="C3" s="76"/>
      <c r="D3" s="37"/>
      <c r="E3" s="37"/>
      <c r="F3" s="37"/>
      <c r="G3" s="103" t="s">
        <v>135</v>
      </c>
      <c r="H3" s="3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row>
    <row r="4" spans="1:231" ht="24" x14ac:dyDescent="0.2">
      <c r="C4" s="78" t="s">
        <v>187</v>
      </c>
      <c r="G4" s="188" t="s">
        <v>400</v>
      </c>
      <c r="H4" t="s">
        <v>399</v>
      </c>
      <c r="I4" s="75" t="str">
        <f>IFERROR(VLOOKUP(I$2,Base!$B$7:$K$119,3,FALSE),"")</f>
        <v>Solo STAR</v>
      </c>
      <c r="J4" s="75" t="str">
        <f>IFERROR(VLOOKUP(J$2,Base!$B$7:$K$119,3,FALSE),"")</f>
        <v>Solo STAR</v>
      </c>
      <c r="K4" s="75" t="str">
        <f>IFERROR(VLOOKUP(K$2,Base!$B$7:$K$119,3,FALSE),"")</f>
        <v>STAR + Internet fijo</v>
      </c>
      <c r="L4" s="75" t="str">
        <f>IFERROR(VLOOKUP(L$2,Base!$B$7:$K$119,3,FALSE),"")</f>
        <v>STAR + Internet fijo</v>
      </c>
      <c r="M4" s="75" t="str">
        <f>IFERROR(VLOOKUP(M$2,Base!$B$7:$K$119,3,FALSE),"")</f>
        <v>STAR + Internet fijo</v>
      </c>
      <c r="N4" s="75" t="str">
        <f>IFERROR(VLOOKUP(N$2,Base!$B$7:$K$119,3,FALSE),"")</f>
        <v>STAR + Internet fijo</v>
      </c>
      <c r="O4" s="75" t="str">
        <f>IFERROR(VLOOKUP(O$2,Base!$B$7:$K$119,3,FALSE),"")</f>
        <v>STAR + Internet fijo</v>
      </c>
      <c r="P4" s="75" t="str">
        <f>IFERROR(VLOOKUP(P$2,Base!$B$7:$K$119,3,FALSE),"")</f>
        <v>STAR + Internet fijo</v>
      </c>
      <c r="Q4" s="75" t="str">
        <f>IFERROR(VLOOKUP(Q$2,Base!$B$7:$K$119,3,FALSE),"")</f>
        <v>STAR + Internet fijo</v>
      </c>
      <c r="R4" s="75" t="str">
        <f>IFERROR(VLOOKUP(R$2,Base!$B$7:$K$119,3,FALSE),"")</f>
        <v>STAR + Internet fijo</v>
      </c>
      <c r="S4" s="75" t="str">
        <f>IFERROR(VLOOKUP(S$2,Base!$B$7:$K$119,3,FALSE),"")</f>
        <v>STAR + Internet fijo</v>
      </c>
      <c r="T4" s="75" t="str">
        <f>IFERROR(VLOOKUP(T$2,Base!$B$7:$K$119,3,FALSE),"")</f>
        <v>STAR + Internet fijo + Telefonía fija</v>
      </c>
      <c r="U4" s="75" t="str">
        <f>IFERROR(VLOOKUP(U$2,Base!$B$7:$K$119,3,FALSE),"")</f>
        <v>STAR + Internet fijo + Telefonía fija</v>
      </c>
      <c r="V4" s="75" t="str">
        <f>IFERROR(VLOOKUP(V$2,Base!$B$7:$K$119,3,FALSE),"")</f>
        <v>STAR + Internet fijo + Telefonía fija</v>
      </c>
      <c r="W4" s="75" t="str">
        <f>IFERROR(VLOOKUP(W$2,Base!$B$7:$K$119,3,FALSE),"")</f>
        <v>STAR + Internet fijo + Telefonía fija</v>
      </c>
      <c r="X4" s="75" t="str">
        <f>IFERROR(VLOOKUP(X$2,Base!$B$7:$K$119,3,FALSE),"")</f>
        <v>STAR + Internet fijo + Telefonía fija</v>
      </c>
      <c r="Y4" s="75" t="str">
        <f>IFERROR(VLOOKUP(Y$2,Base!$B$7:$K$119,3,FALSE),"")</f>
        <v>STAR + Internet fijo + Telefonía fija</v>
      </c>
      <c r="Z4" s="75" t="str">
        <f>IFERROR(VLOOKUP(Z$2,Base!$B$7:$K$119,3,FALSE),"")</f>
        <v>STAR + Internet fijo + Telefonía fija</v>
      </c>
      <c r="AA4" s="75" t="str">
        <f>IFERROR(VLOOKUP(AA$2,Base!$B$7:$K$119,3,FALSE),"")</f>
        <v>STAR + Internet fijo + Telefonía fija</v>
      </c>
      <c r="AB4" s="75" t="str">
        <f>IFERROR(VLOOKUP(AB$2,Base!$B$7:$K$119,3,FALSE),"")</f>
        <v>STAR + Internet fijo + Telefonía fija</v>
      </c>
      <c r="AC4" s="75" t="str">
        <f>IFERROR(VLOOKUP(AC$2,Base!$B$7:$K$119,3,FALSE),"")</f>
        <v>STAR + Internet fijo + Telefonía fija</v>
      </c>
      <c r="AD4" s="75" t="str">
        <f>IFERROR(VLOOKUP(AD$2,Base!$B$7:$K$119,3,FALSE),"")</f>
        <v>STAR + Internet fijo + Telefonía fija</v>
      </c>
      <c r="AE4" s="75" t="str">
        <f>IFERROR(VLOOKUP(AE$2,Base!$B$7:$K$119,3,FALSE),"")</f>
        <v>STAR + Internet fijo + Telefonía fija</v>
      </c>
      <c r="AF4" s="75" t="str">
        <f>IFERROR(VLOOKUP(AF$2,Base!$B$7:$K$119,3,FALSE),"")</f>
        <v>STAR + Internet fijo + Telefonía fija</v>
      </c>
      <c r="AG4" s="75" t="str">
        <f>IFERROR(VLOOKUP(AG$2,Base!$B$7:$K$119,3,FALSE),"")</f>
        <v>STAR + Internet fijo + Telefonía fija</v>
      </c>
      <c r="AH4" s="75" t="str">
        <f>IFERROR(VLOOKUP(AH$2,Base!$B$7:$K$119,3,FALSE),"")</f>
        <v>STAR + Internet fijo + Telefonía fija</v>
      </c>
      <c r="AI4" s="75" t="str">
        <f>IFERROR(VLOOKUP(AI$2,Base!$B$7:$K$119,3,FALSE),"")</f>
        <v>STAR + Internet fijo + Telefonía fija</v>
      </c>
      <c r="AJ4" s="75" t="str">
        <f>IFERROR(VLOOKUP(AJ$2,Base!$B$7:$K$119,3,FALSE),"")</f>
        <v>STAR + Internet fijo + Telefonía fija</v>
      </c>
      <c r="AK4" s="75" t="str">
        <f>IFERROR(VLOOKUP(AK$2,Base!$B$7:$K$119,3,FALSE),"")</f>
        <v>STAR + Internet fijo + Telefonía fija</v>
      </c>
      <c r="AL4" s="75" t="str">
        <f>IFERROR(VLOOKUP(AL$2,Base!$B$7:$K$119,3,FALSE),"")</f>
        <v>STAR + Internet fijo</v>
      </c>
      <c r="AM4" s="75" t="str">
        <f>IFERROR(VLOOKUP(AM$2,Base!$B$7:$K$119,3,FALSE),"")</f>
        <v>STAR + Internet fijo</v>
      </c>
      <c r="AN4" s="75" t="str">
        <f>IFERROR(VLOOKUP(AN$2,Base!$B$7:$K$119,3,FALSE),"")</f>
        <v>STAR + Internet fijo</v>
      </c>
      <c r="AO4" s="75" t="str">
        <f>IFERROR(VLOOKUP(AO$2,Base!$B$7:$K$119,3,FALSE),"")</f>
        <v>STAR + Internet fijo</v>
      </c>
      <c r="AP4" s="75" t="str">
        <f>IFERROR(VLOOKUP(AP$2,Base!$B$7:$K$119,3,FALSE),"")</f>
        <v>STAR + Internet fijo</v>
      </c>
      <c r="AQ4" s="75" t="str">
        <f>IFERROR(VLOOKUP(AQ$2,Base!$B$7:$K$119,3,FALSE),"")</f>
        <v>STAR + Internet fijo</v>
      </c>
      <c r="AR4" s="75" t="str">
        <f>IFERROR(VLOOKUP(AR$2,Base!$B$7:$K$119,3,FALSE),"")</f>
        <v>STAR + Internet fijo</v>
      </c>
      <c r="AS4" s="75" t="str">
        <f>IFERROR(VLOOKUP(AS$2,Base!$B$7:$K$119,3,FALSE),"")</f>
        <v>STAR + Internet fijo</v>
      </c>
      <c r="AT4" s="75" t="str">
        <f>IFERROR(VLOOKUP(AT$2,Base!$B$7:$K$119,3,FALSE),"")</f>
        <v>STAR + Internet fijo</v>
      </c>
      <c r="AU4" s="75" t="str">
        <f>IFERROR(VLOOKUP(AU$2,Base!$B$7:$K$119,3,FALSE),"")</f>
        <v>STAR + Internet fijo + Telefonía fija</v>
      </c>
      <c r="AV4" s="75" t="str">
        <f>IFERROR(VLOOKUP(AV$2,Base!$B$7:$K$119,3,FALSE),"")</f>
        <v>STAR + Internet fijo + Telefonía fija</v>
      </c>
      <c r="AW4" s="75" t="str">
        <f>IFERROR(VLOOKUP(AW$2,Base!$B$7:$K$119,3,FALSE),"")</f>
        <v>STAR + Internet fijo + Telefonía fija</v>
      </c>
      <c r="AX4" s="75" t="str">
        <f>IFERROR(VLOOKUP(AX$2,Base!$B$7:$K$119,3,FALSE),"")</f>
        <v>STAR + Internet fijo + Telefonía fija</v>
      </c>
      <c r="AY4" s="75" t="str">
        <f>IFERROR(VLOOKUP(AY$2,Base!$B$7:$K$119,3,FALSE),"")</f>
        <v>STAR + Internet fijo + Telefonía fija</v>
      </c>
      <c r="AZ4" s="75" t="str">
        <f>IFERROR(VLOOKUP(AZ$2,Base!$B$7:$K$119,3,FALSE),"")</f>
        <v>STAR + Internet fijo + Telefonía fija</v>
      </c>
      <c r="BA4" s="75" t="str">
        <f>IFERROR(VLOOKUP(BA$2,Base!$B$7:$K$119,3,FALSE),"")</f>
        <v>STAR + Internet fijo + Telefonía fija</v>
      </c>
      <c r="BB4" s="75" t="str">
        <f>IFERROR(VLOOKUP(BB$2,Base!$B$7:$K$119,3,FALSE),"")</f>
        <v>STAR + Internet fijo + Telefonía fija</v>
      </c>
      <c r="BC4" s="75" t="str">
        <f>IFERROR(VLOOKUP(BC$2,Base!$B$7:$K$119,3,FALSE),"")</f>
        <v>STAR + Internet fijo + Telefonía fija</v>
      </c>
      <c r="BD4" s="75" t="str">
        <f>IFERROR(VLOOKUP(BD$2,Base!$B$7:$K$119,3,FALSE),"")</f>
        <v>STAR + Internet fijo + Telefonía fija</v>
      </c>
      <c r="BE4" s="75" t="str">
        <f>IFERROR(VLOOKUP(BE$2,Base!$B$7:$K$119,3,FALSE),"")</f>
        <v>STAR + Internet fijo + Telefonía fija</v>
      </c>
      <c r="BF4" s="75" t="str">
        <f>IFERROR(VLOOKUP(BF$2,Base!$B$7:$K$119,3,FALSE),"")</f>
        <v>STAR + Internet fijo + Telefonía fija</v>
      </c>
      <c r="BG4" s="75" t="str">
        <f>IFERROR(VLOOKUP(BG$2,Base!$B$7:$K$119,3,FALSE),"")</f>
        <v>STAR + Internet fijo + Telefonía fija</v>
      </c>
      <c r="BH4" s="75" t="str">
        <f>IFERROR(VLOOKUP(BH$2,Base!$B$7:$K$119,3,FALSE),"")</f>
        <v>STAR + Internet fijo + Telefonía fija</v>
      </c>
      <c r="BI4" s="75" t="str">
        <f>IFERROR(VLOOKUP(BI$2,Base!$B$7:$K$119,3,FALSE),"")</f>
        <v>STAR + Internet fijo + Telefonía fija</v>
      </c>
      <c r="BJ4" s="75" t="str">
        <f>IFERROR(VLOOKUP(BJ$2,Base!$B$7:$K$119,3,FALSE),"")</f>
        <v>STAR + Internet fijo + Telefonía fija</v>
      </c>
      <c r="BK4" s="75" t="str">
        <f>IFERROR(VLOOKUP(BK$2,Base!$B$7:$K$119,3,FALSE),"")</f>
        <v>STAR + Internet fijo + Telefonía fija</v>
      </c>
      <c r="BL4" s="75" t="str">
        <f>IFERROR(VLOOKUP(BL$2,Base!$B$7:$K$119,3,FALSE),"")</f>
        <v>STAR + Internet fijo + Telefonía fija</v>
      </c>
      <c r="BM4" s="75" t="str">
        <f>IFERROR(VLOOKUP(BM$2,Base!$B$7:$K$119,3,FALSE),"")</f>
        <v>Solo STAR</v>
      </c>
      <c r="BN4" s="75" t="str">
        <f>IFERROR(VLOOKUP(BN$2,Base!$B$7:$K$119,3,FALSE),"")</f>
        <v>Solo STAR</v>
      </c>
      <c r="BO4" s="75" t="str">
        <f>IFERROR(VLOOKUP(BO$2,Base!$B$7:$K$119,3,FALSE),"")</f>
        <v>STAR + Internet fijo</v>
      </c>
      <c r="BP4" s="75" t="str">
        <f>IFERROR(VLOOKUP(BP$2,Base!$B$7:$K$119,3,FALSE),"")</f>
        <v>STAR + Internet fijo</v>
      </c>
      <c r="BQ4" s="75" t="str">
        <f>IFERROR(VLOOKUP(BQ$2,Base!$B$7:$K$119,3,FALSE),"")</f>
        <v>STAR + Internet fijo</v>
      </c>
      <c r="BR4" s="75" t="str">
        <f>IFERROR(VLOOKUP(BR$2,Base!$B$7:$K$119,3,FALSE),"")</f>
        <v>STAR + Internet fijo</v>
      </c>
      <c r="BS4" s="75" t="str">
        <f>IFERROR(VLOOKUP(BS$2,Base!$B$7:$K$119,3,FALSE),"")</f>
        <v>STAR + Internet fijo</v>
      </c>
      <c r="BT4" s="75" t="str">
        <f>IFERROR(VLOOKUP(BT$2,Base!$B$7:$K$119,3,FALSE),"")</f>
        <v>STAR + Internet fijo</v>
      </c>
      <c r="BU4" s="75" t="str">
        <f>IFERROR(VLOOKUP(BU$2,Base!$B$7:$K$119,3,FALSE),"")</f>
        <v>STAR + Internet fijo</v>
      </c>
      <c r="BV4" s="75" t="str">
        <f>IFERROR(VLOOKUP(BV$2,Base!$B$7:$K$119,3,FALSE),"")</f>
        <v>STAR + Internet fijo</v>
      </c>
      <c r="BW4" s="75" t="str">
        <f>IFERROR(VLOOKUP(BW$2,Base!$B$7:$K$119,3,FALSE),"")</f>
        <v>STAR + Internet fijo</v>
      </c>
      <c r="BX4" s="75" t="str">
        <f>IFERROR(VLOOKUP(BX$2,Base!$B$7:$K$119,3,FALSE),"")</f>
        <v>STAR + Internet fijo + Telefonía fija</v>
      </c>
      <c r="BY4" s="75" t="str">
        <f>IFERROR(VLOOKUP(BY$2,Base!$B$7:$K$119,3,FALSE),"")</f>
        <v>STAR + Internet fijo + Telefonía fija</v>
      </c>
      <c r="BZ4" s="75" t="str">
        <f>IFERROR(VLOOKUP(BZ$2,Base!$B$7:$K$119,3,FALSE),"")</f>
        <v>STAR + Internet fijo + Telefonía fija</v>
      </c>
      <c r="CA4" s="75" t="str">
        <f>IFERROR(VLOOKUP(CA$2,Base!$B$7:$K$119,3,FALSE),"")</f>
        <v>STAR + Internet fijo + Telefonía fija</v>
      </c>
      <c r="CB4" s="75" t="str">
        <f>IFERROR(VLOOKUP(CB$2,Base!$B$7:$K$119,3,FALSE),"")</f>
        <v>STAR + Internet fijo + Telefonía fija</v>
      </c>
      <c r="CC4" s="75" t="str">
        <f>IFERROR(VLOOKUP(CC$2,Base!$B$7:$K$119,3,FALSE),"")</f>
        <v>STAR + Internet fijo + Telefonía fija</v>
      </c>
      <c r="CD4" s="75" t="str">
        <f>IFERROR(VLOOKUP(CD$2,Base!$B$7:$K$119,3,FALSE),"")</f>
        <v>STAR + Internet fijo + Telefonía fija</v>
      </c>
      <c r="CE4" s="75" t="str">
        <f>IFERROR(VLOOKUP(CE$2,Base!$B$7:$K$119,3,FALSE),"")</f>
        <v>STAR + Internet fijo + Telefonía fija</v>
      </c>
      <c r="CF4" s="75" t="str">
        <f>IFERROR(VLOOKUP(CF$2,Base!$B$7:$K$119,3,FALSE),"")</f>
        <v>STAR + Internet fijo + Telefonía fija</v>
      </c>
      <c r="CG4" s="75" t="str">
        <f>IFERROR(VLOOKUP(CG$2,Base!$B$7:$K$119,3,FALSE),"")</f>
        <v>STAR + Internet fijo + Telefonía fija</v>
      </c>
      <c r="CH4" s="75" t="str">
        <f>IFERROR(VLOOKUP(CH$2,Base!$B$7:$K$119,3,FALSE),"")</f>
        <v>STAR + Internet fijo + Telefonía fija</v>
      </c>
      <c r="CI4" s="75" t="str">
        <f>IFERROR(VLOOKUP(CI$2,Base!$B$7:$K$119,3,FALSE),"")</f>
        <v>STAR + Internet fijo + Telefonía fija</v>
      </c>
      <c r="CJ4" s="75" t="str">
        <f>IFERROR(VLOOKUP(CJ$2,Base!$B$7:$K$119,3,FALSE),"")</f>
        <v>STAR + Internet fijo + Telefonía fija</v>
      </c>
      <c r="CK4" s="75" t="str">
        <f>IFERROR(VLOOKUP(CK$2,Base!$B$7:$K$119,3,FALSE),"")</f>
        <v>STAR + Internet fijo + Telefonía fija</v>
      </c>
      <c r="CL4" s="75" t="str">
        <f>IFERROR(VLOOKUP(CL$2,Base!$B$7:$K$119,3,FALSE),"")</f>
        <v>STAR + Internet fijo + Telefonía fija</v>
      </c>
      <c r="CM4" s="75" t="str">
        <f>IFERROR(VLOOKUP(CM$2,Base!$B$7:$K$119,3,FALSE),"")</f>
        <v>STAR + Internet fijo + Telefonía fija</v>
      </c>
      <c r="CN4" s="75" t="str">
        <f>IFERROR(VLOOKUP(CN$2,Base!$B$7:$K$119,3,FALSE),"")</f>
        <v>STAR + Internet fijo + Telefonía fija</v>
      </c>
      <c r="CO4" s="75" t="str">
        <f>IFERROR(VLOOKUP(CO$2,Base!$B$7:$K$119,3,FALSE),"")</f>
        <v>STAR + Internet fijo + Telefonía fija</v>
      </c>
      <c r="CP4" s="75" t="str">
        <f>IFERROR(VLOOKUP(CP$2,Base!$B$7:$K$119,3,FALSE),"")</f>
        <v>STAR + Internet fijo</v>
      </c>
      <c r="CQ4" s="75" t="str">
        <f>IFERROR(VLOOKUP(CQ$2,Base!$B$7:$K$119,3,FALSE),"")</f>
        <v>STAR + Internet fijo</v>
      </c>
      <c r="CR4" s="75" t="str">
        <f>IFERROR(VLOOKUP(CR$2,Base!$B$7:$K$119,3,FALSE),"")</f>
        <v>STAR + Internet fijo</v>
      </c>
      <c r="CS4" s="75" t="str">
        <f>IFERROR(VLOOKUP(CS$2,Base!$B$7:$K$119,3,FALSE),"")</f>
        <v>STAR + Internet fijo</v>
      </c>
      <c r="CT4" s="75" t="str">
        <f>IFERROR(VLOOKUP(CT$2,Base!$B$7:$K$119,3,FALSE),"")</f>
        <v>STAR + Internet fijo</v>
      </c>
      <c r="CU4" s="75" t="str">
        <f>IFERROR(VLOOKUP(CU$2,Base!$B$7:$K$119,3,FALSE),"")</f>
        <v>STAR + Internet fijo</v>
      </c>
      <c r="CV4" s="75" t="str">
        <f>IFERROR(VLOOKUP(CV$2,Base!$B$7:$K$119,3,FALSE),"")</f>
        <v>STAR + Internet fijo</v>
      </c>
      <c r="CW4" s="75" t="str">
        <f>IFERROR(VLOOKUP(CW$2,Base!$B$7:$K$119,3,FALSE),"")</f>
        <v>STAR + Internet fijo</v>
      </c>
      <c r="CX4" s="75" t="str">
        <f>IFERROR(VLOOKUP(CX$2,Base!$B$7:$K$119,3,FALSE),"")</f>
        <v>STAR + Internet fijo</v>
      </c>
      <c r="CY4" s="75" t="str">
        <f>IFERROR(VLOOKUP(CY$2,Base!$B$7:$K$119,3,FALSE),"")</f>
        <v>STAR + Internet fijo + Telefonía fija</v>
      </c>
      <c r="CZ4" s="75" t="str">
        <f>IFERROR(VLOOKUP(CZ$2,Base!$B$7:$K$119,3,FALSE),"")</f>
        <v>STAR + Internet fijo + Telefonía fija</v>
      </c>
      <c r="DA4" s="75" t="str">
        <f>IFERROR(VLOOKUP(DA$2,Base!$B$7:$K$119,3,FALSE),"")</f>
        <v>STAR + Internet fijo + Telefonía fija</v>
      </c>
      <c r="DB4" s="75" t="str">
        <f>IFERROR(VLOOKUP(DB$2,Base!$B$7:$K$119,3,FALSE),"")</f>
        <v>STAR + Internet fijo + Telefonía fija</v>
      </c>
      <c r="DC4" s="75" t="str">
        <f>IFERROR(VLOOKUP(DC$2,Base!$B$7:$K$119,3,FALSE),"")</f>
        <v>STAR + Internet fijo + Telefonía fija</v>
      </c>
      <c r="DD4" s="75" t="str">
        <f>IFERROR(VLOOKUP(DD$2,Base!$B$7:$K$119,3,FALSE),"")</f>
        <v>STAR + Internet fijo + Telefonía fija</v>
      </c>
      <c r="DE4" s="75" t="str">
        <f>IFERROR(VLOOKUP(DE$2,Base!$B$7:$K$119,3,FALSE),"")</f>
        <v>STAR + Internet fijo + Telefonía fija</v>
      </c>
      <c r="DF4" s="75" t="str">
        <f>IFERROR(VLOOKUP(DF$2,Base!$B$7:$K$119,3,FALSE),"")</f>
        <v>STAR + Internet fijo + Telefonía fija</v>
      </c>
      <c r="DG4" s="75" t="str">
        <f>IFERROR(VLOOKUP(DG$2,Base!$B$7:$K$119,3,FALSE),"")</f>
        <v>STAR + Internet fijo + Telefonía fija</v>
      </c>
      <c r="DH4" s="75" t="str">
        <f>IFERROR(VLOOKUP(DH$2,Base!$B$7:$K$119,3,FALSE),"")</f>
        <v>STAR + Internet fijo + Telefonía fija</v>
      </c>
      <c r="DI4" s="75" t="str">
        <f>IFERROR(VLOOKUP(DI$2,Base!$B$7:$K$119,3,FALSE),"")</f>
        <v>STAR + Internet fijo + Telefonía fija</v>
      </c>
      <c r="DJ4" s="75" t="str">
        <f>IFERROR(VLOOKUP(DJ$2,Base!$B$7:$K$119,3,FALSE),"")</f>
        <v>STAR + Internet fijo + Telefonía fija</v>
      </c>
      <c r="DK4" s="75" t="str">
        <f>IFERROR(VLOOKUP(DK$2,Base!$B$7:$K$119,3,FALSE),"")</f>
        <v>STAR + Internet fijo + Telefonía fija</v>
      </c>
      <c r="DL4" s="75" t="str">
        <f>IFERROR(VLOOKUP(DL$2,Base!$B$7:$K$119,3,FALSE),"")</f>
        <v>STAR + Internet fijo + Telefonía fija</v>
      </c>
      <c r="DM4" s="75" t="str">
        <f>IFERROR(VLOOKUP(DM$2,Base!$B$7:$K$119,3,FALSE),"")</f>
        <v>STAR + Internet fijo + Telefonía fija</v>
      </c>
      <c r="DN4" s="75" t="str">
        <f>IFERROR(VLOOKUP(DN$2,Base!$B$7:$K$119,3,FALSE),"")</f>
        <v>STAR + Internet fijo + Telefonía fija</v>
      </c>
      <c r="DO4" s="75" t="str">
        <f>IFERROR(VLOOKUP(DO$2,Base!$B$7:$K$119,3,FALSE),"")</f>
        <v>STAR + Internet fijo + Telefonía fija</v>
      </c>
      <c r="DP4" s="75" t="str">
        <f>IFERROR(VLOOKUP(DP$2,Base!$B$7:$K$119,3,FALSE),"")</f>
        <v>STAR + Internet fijo + Telefonía fija</v>
      </c>
      <c r="DQ4" s="75" t="str">
        <f>IFERROR(VLOOKUP(DQ$2,Base!$B$7:$K$119,3,FALSE),"")</f>
        <v>STAR + Internet fijo + Telefonía fija</v>
      </c>
      <c r="DR4" s="75"/>
      <c r="DS4" s="75"/>
      <c r="DT4" s="75"/>
      <c r="DU4" s="75"/>
      <c r="DV4" s="75"/>
      <c r="DW4" s="75"/>
      <c r="DX4" s="75"/>
      <c r="DY4" s="75"/>
      <c r="DZ4" s="75"/>
      <c r="EA4" s="75"/>
      <c r="EB4" s="75"/>
      <c r="EC4" s="75"/>
      <c r="ED4" s="75"/>
      <c r="EE4" s="75"/>
      <c r="EF4" s="75"/>
      <c r="EG4" s="75"/>
      <c r="EH4" s="75"/>
      <c r="EI4" s="75"/>
      <c r="EJ4" s="75"/>
      <c r="EK4" s="75"/>
      <c r="EL4" s="75"/>
      <c r="EM4" s="75"/>
      <c r="EN4" s="75"/>
      <c r="EO4" s="75"/>
      <c r="EP4" s="75"/>
      <c r="EQ4" s="75"/>
      <c r="ER4" s="75"/>
      <c r="ES4" s="75"/>
      <c r="ET4" s="75"/>
      <c r="EU4" s="75"/>
      <c r="EV4" s="75"/>
      <c r="EW4" s="75"/>
      <c r="EX4" s="75"/>
      <c r="EY4" s="75"/>
      <c r="EZ4" s="75"/>
      <c r="FA4" s="75"/>
      <c r="FB4" s="75"/>
      <c r="FC4" s="75"/>
      <c r="FD4" s="75"/>
      <c r="FE4" s="75"/>
      <c r="FF4" s="75"/>
      <c r="FG4" s="75"/>
      <c r="FH4" s="75"/>
      <c r="FI4" s="75"/>
      <c r="FJ4" s="75"/>
      <c r="FK4" s="75"/>
      <c r="FL4" s="75"/>
      <c r="FM4" s="75"/>
      <c r="FN4" s="75"/>
      <c r="FO4" s="75"/>
      <c r="FP4" s="75"/>
      <c r="FQ4" s="75"/>
      <c r="FR4" s="75"/>
      <c r="FS4" s="75"/>
      <c r="FT4" s="75"/>
      <c r="FU4" s="75"/>
      <c r="FV4" s="75"/>
      <c r="FW4" s="75"/>
      <c r="FX4" s="75"/>
      <c r="FY4" s="75"/>
      <c r="FZ4" s="75"/>
      <c r="GA4" s="75"/>
      <c r="GB4" s="75"/>
      <c r="GC4" s="75"/>
      <c r="GD4" s="75"/>
      <c r="GE4" s="75"/>
      <c r="GF4" s="75"/>
      <c r="GG4" s="75"/>
      <c r="GH4" s="75"/>
      <c r="GI4" s="75"/>
      <c r="GJ4" s="75"/>
      <c r="GK4" s="75"/>
      <c r="GL4" s="75"/>
      <c r="GM4" s="75"/>
      <c r="GN4" s="75"/>
      <c r="GO4" s="75"/>
      <c r="GP4" s="75"/>
      <c r="GQ4" s="75"/>
      <c r="GR4" s="75"/>
      <c r="GS4" s="75"/>
      <c r="GT4" s="75"/>
      <c r="GU4" s="75"/>
      <c r="GV4" s="75"/>
      <c r="GW4" s="75"/>
      <c r="GX4" s="75"/>
      <c r="GY4" s="75"/>
      <c r="GZ4" s="75"/>
      <c r="HA4" s="75"/>
      <c r="HB4" s="75"/>
      <c r="HC4" s="75"/>
      <c r="HD4" s="75"/>
      <c r="HE4" s="75"/>
      <c r="HF4" s="75"/>
      <c r="HG4" s="75"/>
      <c r="HH4" s="75"/>
      <c r="HI4" s="75"/>
      <c r="HJ4" s="75"/>
      <c r="HK4" s="75"/>
      <c r="HL4" s="75"/>
    </row>
    <row r="6" spans="1:231" x14ac:dyDescent="0.2">
      <c r="C6" s="78" t="s">
        <v>189</v>
      </c>
      <c r="G6" s="61" t="s">
        <v>398</v>
      </c>
      <c r="H6" t="s">
        <v>399</v>
      </c>
      <c r="I6" s="75" t="str">
        <f>IFERROR(VLOOKUP(I$2,Base!$B$7:$K$119,2,FALSE),"")</f>
        <v>Residencial</v>
      </c>
      <c r="J6" s="75" t="str">
        <f>IFERROR(VLOOKUP(J$2,Base!$B$7:$K$119,2,FALSE),"")</f>
        <v>Negocio</v>
      </c>
      <c r="K6" s="75" t="str">
        <f>IFERROR(VLOOKUP(K$2,Base!$B$7:$K$119,2,FALSE),"")</f>
        <v>Residencial</v>
      </c>
      <c r="L6" s="75" t="str">
        <f>IFERROR(VLOOKUP(L$2,Base!$B$7:$K$119,2,FALSE),"")</f>
        <v>Residencial</v>
      </c>
      <c r="M6" s="75" t="str">
        <f>IFERROR(VLOOKUP(M$2,Base!$B$7:$K$119,2,FALSE),"")</f>
        <v>Residencial</v>
      </c>
      <c r="N6" s="75" t="str">
        <f>IFERROR(VLOOKUP(N$2,Base!$B$7:$K$119,2,FALSE),"")</f>
        <v>Residencial</v>
      </c>
      <c r="O6" s="75" t="str">
        <f>IFERROR(VLOOKUP(O$2,Base!$B$7:$K$119,2,FALSE),"")</f>
        <v>Residencial</v>
      </c>
      <c r="P6" s="75" t="str">
        <f>IFERROR(VLOOKUP(P$2,Base!$B$7:$K$119,2,FALSE),"")</f>
        <v>Residencial</v>
      </c>
      <c r="Q6" s="75" t="str">
        <f>IFERROR(VLOOKUP(Q$2,Base!$B$7:$K$119,2,FALSE),"")</f>
        <v>Residencial</v>
      </c>
      <c r="R6" s="75" t="str">
        <f>IFERROR(VLOOKUP(R$2,Base!$B$7:$K$119,2,FALSE),"")</f>
        <v>Residencial</v>
      </c>
      <c r="S6" s="75" t="str">
        <f>IFERROR(VLOOKUP(S$2,Base!$B$7:$K$119,2,FALSE),"")</f>
        <v>Residencial</v>
      </c>
      <c r="T6" s="75" t="str">
        <f>IFERROR(VLOOKUP(T$2,Base!$B$7:$K$119,2,FALSE),"")</f>
        <v>Residencial</v>
      </c>
      <c r="U6" s="75" t="str">
        <f>IFERROR(VLOOKUP(U$2,Base!$B$7:$K$119,2,FALSE),"")</f>
        <v>Residencial</v>
      </c>
      <c r="V6" s="75" t="str">
        <f>IFERROR(VLOOKUP(V$2,Base!$B$7:$K$119,2,FALSE),"")</f>
        <v>Residencial</v>
      </c>
      <c r="W6" s="75" t="str">
        <f>IFERROR(VLOOKUP(W$2,Base!$B$7:$K$119,2,FALSE),"")</f>
        <v>Residencial</v>
      </c>
      <c r="X6" s="75" t="str">
        <f>IFERROR(VLOOKUP(X$2,Base!$B$7:$K$119,2,FALSE),"")</f>
        <v>Residencial</v>
      </c>
      <c r="Y6" s="75" t="str">
        <f>IFERROR(VLOOKUP(Y$2,Base!$B$7:$K$119,2,FALSE),"")</f>
        <v>Residencial</v>
      </c>
      <c r="Z6" s="75" t="str">
        <f>IFERROR(VLOOKUP(Z$2,Base!$B$7:$K$119,2,FALSE),"")</f>
        <v>Residencial</v>
      </c>
      <c r="AA6" s="75" t="str">
        <f>IFERROR(VLOOKUP(AA$2,Base!$B$7:$K$119,2,FALSE),"")</f>
        <v>Residencial</v>
      </c>
      <c r="AB6" s="75" t="str">
        <f>IFERROR(VLOOKUP(AB$2,Base!$B$7:$K$119,2,FALSE),"")</f>
        <v>Residencial</v>
      </c>
      <c r="AC6" s="75" t="str">
        <f>IFERROR(VLOOKUP(AC$2,Base!$B$7:$K$119,2,FALSE),"")</f>
        <v>Negocio</v>
      </c>
      <c r="AD6" s="75" t="str">
        <f>IFERROR(VLOOKUP(AD$2,Base!$B$7:$K$119,2,FALSE),"")</f>
        <v>Negocio</v>
      </c>
      <c r="AE6" s="75" t="str">
        <f>IFERROR(VLOOKUP(AE$2,Base!$B$7:$K$119,2,FALSE),"")</f>
        <v>Negocio</v>
      </c>
      <c r="AF6" s="75" t="str">
        <f>IFERROR(VLOOKUP(AF$2,Base!$B$7:$K$119,2,FALSE),"")</f>
        <v>Negocio</v>
      </c>
      <c r="AG6" s="75" t="str">
        <f>IFERROR(VLOOKUP(AG$2,Base!$B$7:$K$119,2,FALSE),"")</f>
        <v>Negocio</v>
      </c>
      <c r="AH6" s="75" t="str">
        <f>IFERROR(VLOOKUP(AH$2,Base!$B$7:$K$119,2,FALSE),"")</f>
        <v>Negocio</v>
      </c>
      <c r="AI6" s="75" t="str">
        <f>IFERROR(VLOOKUP(AI$2,Base!$B$7:$K$119,2,FALSE),"")</f>
        <v>Negocio</v>
      </c>
      <c r="AJ6" s="75" t="str">
        <f>IFERROR(VLOOKUP(AJ$2,Base!$B$7:$K$119,2,FALSE),"")</f>
        <v>Negocio</v>
      </c>
      <c r="AK6" s="75" t="str">
        <f>IFERROR(VLOOKUP(AK$2,Base!$B$7:$K$119,2,FALSE),"")</f>
        <v>Negocio</v>
      </c>
      <c r="AL6" s="75" t="str">
        <f>IFERROR(VLOOKUP(AL$2,Base!$B$7:$K$119,2,FALSE),"")</f>
        <v>Negocio</v>
      </c>
      <c r="AM6" s="75" t="str">
        <f>IFERROR(VLOOKUP(AM$2,Base!$B$7:$K$119,2,FALSE),"")</f>
        <v>Negocio</v>
      </c>
      <c r="AN6" s="75" t="str">
        <f>IFERROR(VLOOKUP(AN$2,Base!$B$7:$K$119,2,FALSE),"")</f>
        <v>Negocio</v>
      </c>
      <c r="AO6" s="75" t="str">
        <f>IFERROR(VLOOKUP(AO$2,Base!$B$7:$K$119,2,FALSE),"")</f>
        <v>Negocio</v>
      </c>
      <c r="AP6" s="75" t="str">
        <f>IFERROR(VLOOKUP(AP$2,Base!$B$7:$K$119,2,FALSE),"")</f>
        <v>Negocio</v>
      </c>
      <c r="AQ6" s="75" t="str">
        <f>IFERROR(VLOOKUP(AQ$2,Base!$B$7:$K$119,2,FALSE),"")</f>
        <v>Negocio</v>
      </c>
      <c r="AR6" s="75" t="str">
        <f>IFERROR(VLOOKUP(AR$2,Base!$B$7:$K$119,2,FALSE),"")</f>
        <v>Negocio</v>
      </c>
      <c r="AS6" s="75" t="str">
        <f>IFERROR(VLOOKUP(AS$2,Base!$B$7:$K$119,2,FALSE),"")</f>
        <v>Negocio</v>
      </c>
      <c r="AT6" s="75" t="str">
        <f>IFERROR(VLOOKUP(AT$2,Base!$B$7:$K$119,2,FALSE),"")</f>
        <v>Negocio</v>
      </c>
      <c r="AU6" s="75" t="str">
        <f>IFERROR(VLOOKUP(AU$2,Base!$B$7:$K$119,2,FALSE),"")</f>
        <v>Residencial</v>
      </c>
      <c r="AV6" s="75" t="str">
        <f>IFERROR(VLOOKUP(AV$2,Base!$B$7:$K$119,2,FALSE),"")</f>
        <v>Residencial</v>
      </c>
      <c r="AW6" s="75" t="str">
        <f>IFERROR(VLOOKUP(AW$2,Base!$B$7:$K$119,2,FALSE),"")</f>
        <v>Residencial</v>
      </c>
      <c r="AX6" s="75" t="str">
        <f>IFERROR(VLOOKUP(AX$2,Base!$B$7:$K$119,2,FALSE),"")</f>
        <v>Residencial</v>
      </c>
      <c r="AY6" s="75" t="str">
        <f>IFERROR(VLOOKUP(AY$2,Base!$B$7:$K$119,2,FALSE),"")</f>
        <v>Residencial</v>
      </c>
      <c r="AZ6" s="75" t="str">
        <f>IFERROR(VLOOKUP(AZ$2,Base!$B$7:$K$119,2,FALSE),"")</f>
        <v>Residencial</v>
      </c>
      <c r="BA6" s="75" t="str">
        <f>IFERROR(VLOOKUP(BA$2,Base!$B$7:$K$119,2,FALSE),"")</f>
        <v>Residencial</v>
      </c>
      <c r="BB6" s="75" t="str">
        <f>IFERROR(VLOOKUP(BB$2,Base!$B$7:$K$119,2,FALSE),"")</f>
        <v>Residencial</v>
      </c>
      <c r="BC6" s="75" t="str">
        <f>IFERROR(VLOOKUP(BC$2,Base!$B$7:$K$119,2,FALSE),"")</f>
        <v>Residencial</v>
      </c>
      <c r="BD6" s="75" t="str">
        <f>IFERROR(VLOOKUP(BD$2,Base!$B$7:$K$119,2,FALSE),"")</f>
        <v>Negocio</v>
      </c>
      <c r="BE6" s="75" t="str">
        <f>IFERROR(VLOOKUP(BE$2,Base!$B$7:$K$119,2,FALSE),"")</f>
        <v>Negocio</v>
      </c>
      <c r="BF6" s="75" t="str">
        <f>IFERROR(VLOOKUP(BF$2,Base!$B$7:$K$119,2,FALSE),"")</f>
        <v>Negocio</v>
      </c>
      <c r="BG6" s="75" t="str">
        <f>IFERROR(VLOOKUP(BG$2,Base!$B$7:$K$119,2,FALSE),"")</f>
        <v>Negocio</v>
      </c>
      <c r="BH6" s="75" t="str">
        <f>IFERROR(VLOOKUP(BH$2,Base!$B$7:$K$119,2,FALSE),"")</f>
        <v>Negocio</v>
      </c>
      <c r="BI6" s="75" t="str">
        <f>IFERROR(VLOOKUP(BI$2,Base!$B$7:$K$119,2,FALSE),"")</f>
        <v>Negocio</v>
      </c>
      <c r="BJ6" s="75" t="str">
        <f>IFERROR(VLOOKUP(BJ$2,Base!$B$7:$K$119,2,FALSE),"")</f>
        <v>Negocio</v>
      </c>
      <c r="BK6" s="75" t="str">
        <f>IFERROR(VLOOKUP(BK$2,Base!$B$7:$K$119,2,FALSE),"")</f>
        <v>Negocio</v>
      </c>
      <c r="BL6" s="75" t="str">
        <f>IFERROR(VLOOKUP(BL$2,Base!$B$7:$K$119,2,FALSE),"")</f>
        <v>Negocio</v>
      </c>
      <c r="BM6" s="75" t="str">
        <f>IFERROR(VLOOKUP(BM$2,Base!$B$7:$K$119,2,FALSE),"")</f>
        <v>Residencial</v>
      </c>
      <c r="BN6" s="75" t="str">
        <f>IFERROR(VLOOKUP(BN$2,Base!$B$7:$K$119,2,FALSE),"")</f>
        <v>Negocio</v>
      </c>
      <c r="BO6" s="75" t="str">
        <f>IFERROR(VLOOKUP(BO$2,Base!$B$7:$K$119,2,FALSE),"")</f>
        <v>Residencial</v>
      </c>
      <c r="BP6" s="75" t="str">
        <f>IFERROR(VLOOKUP(BP$2,Base!$B$7:$K$119,2,FALSE),"")</f>
        <v>Residencial</v>
      </c>
      <c r="BQ6" s="75" t="str">
        <f>IFERROR(VLOOKUP(BQ$2,Base!$B$7:$K$119,2,FALSE),"")</f>
        <v>Residencial</v>
      </c>
      <c r="BR6" s="75" t="str">
        <f>IFERROR(VLOOKUP(BR$2,Base!$B$7:$K$119,2,FALSE),"")</f>
        <v>Residencial</v>
      </c>
      <c r="BS6" s="75" t="str">
        <f>IFERROR(VLOOKUP(BS$2,Base!$B$7:$K$119,2,FALSE),"")</f>
        <v>Residencial</v>
      </c>
      <c r="BT6" s="75" t="str">
        <f>IFERROR(VLOOKUP(BT$2,Base!$B$7:$K$119,2,FALSE),"")</f>
        <v>Residencial</v>
      </c>
      <c r="BU6" s="75" t="str">
        <f>IFERROR(VLOOKUP(BU$2,Base!$B$7:$K$119,2,FALSE),"")</f>
        <v>Residencial</v>
      </c>
      <c r="BV6" s="75" t="str">
        <f>IFERROR(VLOOKUP(BV$2,Base!$B$7:$K$119,2,FALSE),"")</f>
        <v>Residencial</v>
      </c>
      <c r="BW6" s="75" t="str">
        <f>IFERROR(VLOOKUP(BW$2,Base!$B$7:$K$119,2,FALSE),"")</f>
        <v>Residencial</v>
      </c>
      <c r="BX6" s="75" t="str">
        <f>IFERROR(VLOOKUP(BX$2,Base!$B$7:$K$119,2,FALSE),"")</f>
        <v>Residencial</v>
      </c>
      <c r="BY6" s="75" t="str">
        <f>IFERROR(VLOOKUP(BY$2,Base!$B$7:$K$119,2,FALSE),"")</f>
        <v>Residencial</v>
      </c>
      <c r="BZ6" s="75" t="str">
        <f>IFERROR(VLOOKUP(BZ$2,Base!$B$7:$K$119,2,FALSE),"")</f>
        <v>Residencial</v>
      </c>
      <c r="CA6" s="75" t="str">
        <f>IFERROR(VLOOKUP(CA$2,Base!$B$7:$K$119,2,FALSE),"")</f>
        <v>Residencial</v>
      </c>
      <c r="CB6" s="75" t="str">
        <f>IFERROR(VLOOKUP(CB$2,Base!$B$7:$K$119,2,FALSE),"")</f>
        <v>Residencial</v>
      </c>
      <c r="CC6" s="75" t="str">
        <f>IFERROR(VLOOKUP(CC$2,Base!$B$7:$K$119,2,FALSE),"")</f>
        <v>Residencial</v>
      </c>
      <c r="CD6" s="75" t="str">
        <f>IFERROR(VLOOKUP(CD$2,Base!$B$7:$K$119,2,FALSE),"")</f>
        <v>Residencial</v>
      </c>
      <c r="CE6" s="75" t="str">
        <f>IFERROR(VLOOKUP(CE$2,Base!$B$7:$K$119,2,FALSE),"")</f>
        <v>Residencial</v>
      </c>
      <c r="CF6" s="75" t="str">
        <f>IFERROR(VLOOKUP(CF$2,Base!$B$7:$K$119,2,FALSE),"")</f>
        <v>Residencial</v>
      </c>
      <c r="CG6" s="75" t="str">
        <f>IFERROR(VLOOKUP(CG$2,Base!$B$7:$K$119,2,FALSE),"")</f>
        <v>Negocio</v>
      </c>
      <c r="CH6" s="75" t="str">
        <f>IFERROR(VLOOKUP(CH$2,Base!$B$7:$K$119,2,FALSE),"")</f>
        <v>Negocio</v>
      </c>
      <c r="CI6" s="75" t="str">
        <f>IFERROR(VLOOKUP(CI$2,Base!$B$7:$K$119,2,FALSE),"")</f>
        <v>Negocio</v>
      </c>
      <c r="CJ6" s="75" t="str">
        <f>IFERROR(VLOOKUP(CJ$2,Base!$B$7:$K$119,2,FALSE),"")</f>
        <v>Negocio</v>
      </c>
      <c r="CK6" s="75" t="str">
        <f>IFERROR(VLOOKUP(CK$2,Base!$B$7:$K$119,2,FALSE),"")</f>
        <v>Negocio</v>
      </c>
      <c r="CL6" s="75" t="str">
        <f>IFERROR(VLOOKUP(CL$2,Base!$B$7:$K$119,2,FALSE),"")</f>
        <v>Negocio</v>
      </c>
      <c r="CM6" s="75" t="str">
        <f>IFERROR(VLOOKUP(CM$2,Base!$B$7:$K$119,2,FALSE),"")</f>
        <v>Negocio</v>
      </c>
      <c r="CN6" s="75" t="str">
        <f>IFERROR(VLOOKUP(CN$2,Base!$B$7:$K$119,2,FALSE),"")</f>
        <v>Negocio</v>
      </c>
      <c r="CO6" s="75" t="str">
        <f>IFERROR(VLOOKUP(CO$2,Base!$B$7:$K$119,2,FALSE),"")</f>
        <v>Negocio</v>
      </c>
      <c r="CP6" s="75" t="str">
        <f>IFERROR(VLOOKUP(CP$2,Base!$B$7:$K$119,2,FALSE),"")</f>
        <v>Negocio</v>
      </c>
      <c r="CQ6" s="75" t="str">
        <f>IFERROR(VLOOKUP(CQ$2,Base!$B$7:$K$119,2,FALSE),"")</f>
        <v>Negocio</v>
      </c>
      <c r="CR6" s="75" t="str">
        <f>IFERROR(VLOOKUP(CR$2,Base!$B$7:$K$119,2,FALSE),"")</f>
        <v>Negocio</v>
      </c>
      <c r="CS6" s="75" t="str">
        <f>IFERROR(VLOOKUP(CS$2,Base!$B$7:$K$119,2,FALSE),"")</f>
        <v>Negocio</v>
      </c>
      <c r="CT6" s="75" t="str">
        <f>IFERROR(VLOOKUP(CT$2,Base!$B$7:$K$119,2,FALSE),"")</f>
        <v>Negocio</v>
      </c>
      <c r="CU6" s="75" t="str">
        <f>IFERROR(VLOOKUP(CU$2,Base!$B$7:$K$119,2,FALSE),"")</f>
        <v>Negocio</v>
      </c>
      <c r="CV6" s="75" t="str">
        <f>IFERROR(VLOOKUP(CV$2,Base!$B$7:$K$119,2,FALSE),"")</f>
        <v>Negocio</v>
      </c>
      <c r="CW6" s="75" t="str">
        <f>IFERROR(VLOOKUP(CW$2,Base!$B$7:$K$119,2,FALSE),"")</f>
        <v>Negocio</v>
      </c>
      <c r="CX6" s="75" t="str">
        <f>IFERROR(VLOOKUP(CX$2,Base!$B$7:$K$119,2,FALSE),"")</f>
        <v>Negocio</v>
      </c>
      <c r="CY6" s="75" t="str">
        <f>IFERROR(VLOOKUP(CY$2,Base!$B$7:$K$119,2,FALSE),"")</f>
        <v>Residencial</v>
      </c>
      <c r="CZ6" s="75" t="str">
        <f>IFERROR(VLOOKUP(CZ$2,Base!$B$7:$K$119,2,FALSE),"")</f>
        <v>Residencial</v>
      </c>
      <c r="DA6" s="75" t="str">
        <f>IFERROR(VLOOKUP(DA$2,Base!$B$7:$K$119,2,FALSE),"")</f>
        <v>Residencial</v>
      </c>
      <c r="DB6" s="75" t="str">
        <f>IFERROR(VLOOKUP(DB$2,Base!$B$7:$K$119,2,FALSE),"")</f>
        <v>Residencial</v>
      </c>
      <c r="DC6" s="75" t="str">
        <f>IFERROR(VLOOKUP(DC$2,Base!$B$7:$K$119,2,FALSE),"")</f>
        <v>Residencial</v>
      </c>
      <c r="DD6" s="75" t="str">
        <f>IFERROR(VLOOKUP(DD$2,Base!$B$7:$K$119,2,FALSE),"")</f>
        <v>Residencial</v>
      </c>
      <c r="DE6" s="75" t="str">
        <f>IFERROR(VLOOKUP(DE$2,Base!$B$7:$K$119,2,FALSE),"")</f>
        <v>Residencial</v>
      </c>
      <c r="DF6" s="75" t="str">
        <f>IFERROR(VLOOKUP(DF$2,Base!$B$7:$K$119,2,FALSE),"")</f>
        <v>Residencial</v>
      </c>
      <c r="DG6" s="75" t="str">
        <f>IFERROR(VLOOKUP(DG$2,Base!$B$7:$K$119,2,FALSE),"")</f>
        <v>Residencial</v>
      </c>
      <c r="DH6" s="75" t="str">
        <f>IFERROR(VLOOKUP(DH$2,Base!$B$7:$K$119,2,FALSE),"")</f>
        <v>Negocio</v>
      </c>
      <c r="DI6" s="75" t="str">
        <f>IFERROR(VLOOKUP(DI$2,Base!$B$7:$K$119,2,FALSE),"")</f>
        <v>Negocio</v>
      </c>
      <c r="DJ6" s="75" t="str">
        <f>IFERROR(VLOOKUP(DJ$2,Base!$B$7:$K$119,2,FALSE),"")</f>
        <v>Negocio</v>
      </c>
      <c r="DK6" s="75" t="str">
        <f>IFERROR(VLOOKUP(DK$2,Base!$B$7:$K$119,2,FALSE),"")</f>
        <v>Negocio</v>
      </c>
      <c r="DL6" s="75" t="str">
        <f>IFERROR(VLOOKUP(DL$2,Base!$B$7:$K$119,2,FALSE),"")</f>
        <v>Negocio</v>
      </c>
      <c r="DM6" s="75" t="str">
        <f>IFERROR(VLOOKUP(DM$2,Base!$B$7:$K$119,2,FALSE),"")</f>
        <v>Negocio</v>
      </c>
      <c r="DN6" s="75" t="str">
        <f>IFERROR(VLOOKUP(DN$2,Base!$B$7:$K$119,2,FALSE),"")</f>
        <v>Negocio</v>
      </c>
      <c r="DO6" s="75" t="str">
        <f>IFERROR(VLOOKUP(DO$2,Base!$B$7:$K$119,2,FALSE),"")</f>
        <v>Negocio</v>
      </c>
      <c r="DP6" s="75" t="str">
        <f>IFERROR(VLOOKUP(DP$2,Base!$B$7:$K$119,2,FALSE),"")</f>
        <v>Negocio</v>
      </c>
      <c r="DQ6" s="75" t="str">
        <f>IFERROR(VLOOKUP(DQ$2,Base!$B$7:$K$119,2,FALSE),"")</f>
        <v>Residencial</v>
      </c>
      <c r="DR6" s="75" t="str">
        <f>IFERROR(VLOOKUP(DR$2,#REF!,2,FALSE),"")</f>
        <v/>
      </c>
      <c r="DS6" s="75" t="str">
        <f>IFERROR(VLOOKUP(DS$2,#REF!,2,FALSE),"")</f>
        <v/>
      </c>
      <c r="DT6" s="75" t="str">
        <f>IFERROR(VLOOKUP(DT$2,#REF!,2,FALSE),"")</f>
        <v/>
      </c>
      <c r="DU6" s="75" t="str">
        <f>IFERROR(VLOOKUP(DU$2,#REF!,2,FALSE),"")</f>
        <v/>
      </c>
      <c r="DV6" s="75" t="str">
        <f>IFERROR(VLOOKUP(DV$2,#REF!,2,FALSE),"")</f>
        <v/>
      </c>
      <c r="DW6" s="75" t="str">
        <f>IFERROR(VLOOKUP(DW$2,#REF!,2,FALSE),"")</f>
        <v/>
      </c>
      <c r="DX6" s="75" t="str">
        <f>IFERROR(VLOOKUP(DX$2,#REF!,2,FALSE),"")</f>
        <v/>
      </c>
      <c r="DY6" s="75" t="str">
        <f>IFERROR(VLOOKUP(DY$2,#REF!,2,FALSE),"")</f>
        <v/>
      </c>
      <c r="DZ6" s="75" t="str">
        <f>IFERROR(VLOOKUP(DZ$2,#REF!,2,FALSE),"")</f>
        <v/>
      </c>
      <c r="EA6" s="75" t="str">
        <f>IFERROR(VLOOKUP(EA$2,#REF!,2,FALSE),"")</f>
        <v/>
      </c>
      <c r="EB6" s="75" t="str">
        <f>IFERROR(VLOOKUP(EB$2,#REF!,2,FALSE),"")</f>
        <v/>
      </c>
      <c r="EC6" s="75" t="str">
        <f>IFERROR(VLOOKUP(EC$2,#REF!,2,FALSE),"")</f>
        <v/>
      </c>
      <c r="ED6" s="75" t="str">
        <f>IFERROR(VLOOKUP(ED$2,#REF!,2,FALSE),"")</f>
        <v/>
      </c>
      <c r="EE6" s="75" t="str">
        <f>IFERROR(VLOOKUP(EE$2,#REF!,2,FALSE),"")</f>
        <v/>
      </c>
      <c r="EF6" s="75" t="str">
        <f>IFERROR(VLOOKUP(EF$2,#REF!,2,FALSE),"")</f>
        <v/>
      </c>
      <c r="EG6" s="75" t="str">
        <f>IFERROR(VLOOKUP(EG$2,#REF!,2,FALSE),"")</f>
        <v/>
      </c>
      <c r="EH6" s="75" t="str">
        <f>IFERROR(VLOOKUP(EH$2,#REF!,2,FALSE),"")</f>
        <v/>
      </c>
      <c r="EI6" s="75" t="str">
        <f>IFERROR(VLOOKUP(EI$2,#REF!,2,FALSE),"")</f>
        <v/>
      </c>
      <c r="EJ6" s="75" t="str">
        <f>IFERROR(VLOOKUP(EJ$2,#REF!,2,FALSE),"")</f>
        <v/>
      </c>
      <c r="EK6" s="75" t="str">
        <f>IFERROR(VLOOKUP(EK$2,#REF!,2,FALSE),"")</f>
        <v/>
      </c>
      <c r="EL6" s="75" t="str">
        <f>IFERROR(VLOOKUP(EL$2,#REF!,2,FALSE),"")</f>
        <v/>
      </c>
      <c r="EM6" s="75" t="str">
        <f>IFERROR(VLOOKUP(EM$2,#REF!,2,FALSE),"")</f>
        <v/>
      </c>
      <c r="EN6" s="75" t="str">
        <f>IFERROR(VLOOKUP(EN$2,#REF!,2,FALSE),"")</f>
        <v/>
      </c>
      <c r="EO6" s="75" t="str">
        <f>IFERROR(VLOOKUP(EO$2,#REF!,2,FALSE),"")</f>
        <v/>
      </c>
      <c r="EP6" s="75" t="str">
        <f>IFERROR(VLOOKUP(EP$2,#REF!,2,FALSE),"")</f>
        <v/>
      </c>
      <c r="EQ6" s="75" t="str">
        <f>IFERROR(VLOOKUP(EQ$2,#REF!,2,FALSE),"")</f>
        <v/>
      </c>
      <c r="ER6" s="75" t="str">
        <f>IFERROR(VLOOKUP(ER$2,#REF!,2,FALSE),"")</f>
        <v/>
      </c>
      <c r="ES6" s="75" t="str">
        <f>IFERROR(VLOOKUP(ES$2,#REF!,2,FALSE),"")</f>
        <v/>
      </c>
      <c r="ET6" s="75" t="str">
        <f>IFERROR(VLOOKUP(ET$2,#REF!,2,FALSE),"")</f>
        <v/>
      </c>
      <c r="EU6" s="75" t="str">
        <f>IFERROR(VLOOKUP(EU$2,#REF!,2,FALSE),"")</f>
        <v/>
      </c>
      <c r="EV6" s="75" t="str">
        <f>IFERROR(VLOOKUP(EV$2,#REF!,2,FALSE),"")</f>
        <v/>
      </c>
      <c r="EW6" s="75" t="str">
        <f>IFERROR(VLOOKUP(EW$2,#REF!,2,FALSE),"")</f>
        <v/>
      </c>
      <c r="EX6" s="75" t="str">
        <f>IFERROR(VLOOKUP(EX$2,#REF!,2,FALSE),"")</f>
        <v/>
      </c>
      <c r="EY6" s="75" t="str">
        <f>IFERROR(VLOOKUP(EY$2,#REF!,2,FALSE),"")</f>
        <v/>
      </c>
      <c r="EZ6" s="75" t="str">
        <f>IFERROR(VLOOKUP(EZ$2,#REF!,2,FALSE),"")</f>
        <v/>
      </c>
      <c r="FA6" s="75" t="str">
        <f>IFERROR(VLOOKUP(FA$2,#REF!,2,FALSE),"")</f>
        <v/>
      </c>
      <c r="FB6" s="75" t="str">
        <f>IFERROR(VLOOKUP(FB$2,#REF!,2,FALSE),"")</f>
        <v/>
      </c>
      <c r="FC6" s="75" t="str">
        <f>IFERROR(VLOOKUP(FC$2,#REF!,2,FALSE),"")</f>
        <v/>
      </c>
      <c r="FD6" s="75" t="str">
        <f>IFERROR(VLOOKUP(FD$2,#REF!,2,FALSE),"")</f>
        <v/>
      </c>
      <c r="FE6" s="75" t="str">
        <f>IFERROR(VLOOKUP(FE$2,#REF!,2,FALSE),"")</f>
        <v/>
      </c>
      <c r="FF6" s="75" t="str">
        <f>IFERROR(VLOOKUP(FF$2,#REF!,2,FALSE),"")</f>
        <v/>
      </c>
      <c r="FG6" s="75" t="str">
        <f>IFERROR(VLOOKUP(FG$2,#REF!,2,FALSE),"")</f>
        <v/>
      </c>
      <c r="FH6" s="75" t="str">
        <f>IFERROR(VLOOKUP(FH$2,#REF!,2,FALSE),"")</f>
        <v/>
      </c>
      <c r="FI6" s="75" t="str">
        <f>IFERROR(VLOOKUP(FI$2,#REF!,2,FALSE),"")</f>
        <v/>
      </c>
      <c r="FJ6" s="75" t="str">
        <f>IFERROR(VLOOKUP(FJ$2,#REF!,2,FALSE),"")</f>
        <v/>
      </c>
      <c r="FK6" s="75" t="str">
        <f>IFERROR(VLOOKUP(FK$2,#REF!,2,FALSE),"")</f>
        <v/>
      </c>
      <c r="FL6" s="75" t="str">
        <f>IFERROR(VLOOKUP(FL$2,#REF!,2,FALSE),"")</f>
        <v/>
      </c>
      <c r="FM6" s="75" t="str">
        <f>IFERROR(VLOOKUP(FM$2,#REF!,2,FALSE),"")</f>
        <v/>
      </c>
      <c r="FN6" s="75" t="str">
        <f>IFERROR(VLOOKUP(FN$2,#REF!,2,FALSE),"")</f>
        <v/>
      </c>
      <c r="FO6" s="75" t="str">
        <f>IFERROR(VLOOKUP(FO$2,#REF!,2,FALSE),"")</f>
        <v/>
      </c>
      <c r="FP6" s="75" t="str">
        <f>IFERROR(VLOOKUP(FP$2,#REF!,2,FALSE),"")</f>
        <v/>
      </c>
      <c r="FQ6" s="75" t="str">
        <f>IFERROR(VLOOKUP(FQ$2,#REF!,2,FALSE),"")</f>
        <v/>
      </c>
      <c r="FR6" s="75" t="str">
        <f>IFERROR(VLOOKUP(FR$2,#REF!,2,FALSE),"")</f>
        <v/>
      </c>
      <c r="FS6" s="75" t="str">
        <f>IFERROR(VLOOKUP(FS$2,#REF!,2,FALSE),"")</f>
        <v/>
      </c>
      <c r="FT6" s="75" t="str">
        <f>IFERROR(VLOOKUP(FT$2,#REF!,2,FALSE),"")</f>
        <v/>
      </c>
      <c r="FU6" s="75" t="str">
        <f>IFERROR(VLOOKUP(FU$2,#REF!,2,FALSE),"")</f>
        <v/>
      </c>
      <c r="FV6" s="75" t="str">
        <f>IFERROR(VLOOKUP(FV$2,#REF!,2,FALSE),"")</f>
        <v/>
      </c>
      <c r="FW6" s="75" t="str">
        <f>IFERROR(VLOOKUP(FW$2,#REF!,2,FALSE),"")</f>
        <v/>
      </c>
      <c r="FX6" s="75" t="str">
        <f>IFERROR(VLOOKUP(FX$2,#REF!,2,FALSE),"")</f>
        <v/>
      </c>
      <c r="FY6" s="75" t="str">
        <f>IFERROR(VLOOKUP(FY$2,#REF!,2,FALSE),"")</f>
        <v/>
      </c>
      <c r="FZ6" s="75" t="str">
        <f>IFERROR(VLOOKUP(FZ$2,#REF!,2,FALSE),"")</f>
        <v/>
      </c>
      <c r="GA6" s="75" t="str">
        <f>IFERROR(VLOOKUP(GA$2,#REF!,2,FALSE),"")</f>
        <v/>
      </c>
      <c r="GB6" s="75" t="str">
        <f>IFERROR(VLOOKUP(GB$2,#REF!,2,FALSE),"")</f>
        <v/>
      </c>
      <c r="GC6" s="75" t="str">
        <f>IFERROR(VLOOKUP(GC$2,#REF!,2,FALSE),"")</f>
        <v/>
      </c>
      <c r="GD6" s="75" t="str">
        <f>IFERROR(VLOOKUP(GD$2,#REF!,2,FALSE),"")</f>
        <v/>
      </c>
      <c r="GE6" s="75" t="str">
        <f>IFERROR(VLOOKUP(GE$2,#REF!,2,FALSE),"")</f>
        <v/>
      </c>
      <c r="GF6" s="75" t="str">
        <f>IFERROR(VLOOKUP(GF$2,#REF!,2,FALSE),"")</f>
        <v/>
      </c>
      <c r="GG6" s="75" t="str">
        <f>IFERROR(VLOOKUP(GG$2,#REF!,2,FALSE),"")</f>
        <v/>
      </c>
      <c r="GH6" s="75" t="str">
        <f>IFERROR(VLOOKUP(GH$2,#REF!,2,FALSE),"")</f>
        <v/>
      </c>
      <c r="GI6" s="75" t="str">
        <f>IFERROR(VLOOKUP(GI$2,#REF!,2,FALSE),"")</f>
        <v/>
      </c>
      <c r="GJ6" s="75" t="str">
        <f>IFERROR(VLOOKUP(GJ$2,#REF!,2,FALSE),"")</f>
        <v/>
      </c>
      <c r="GK6" s="75" t="str">
        <f>IFERROR(VLOOKUP(GK$2,#REF!,2,FALSE),"")</f>
        <v/>
      </c>
      <c r="GL6" s="75" t="str">
        <f>IFERROR(VLOOKUP(GL$2,#REF!,2,FALSE),"")</f>
        <v/>
      </c>
      <c r="GM6" s="75" t="str">
        <f>IFERROR(VLOOKUP(GM$2,#REF!,2,FALSE),"")</f>
        <v/>
      </c>
      <c r="GN6" s="75" t="str">
        <f>IFERROR(VLOOKUP(GN$2,#REF!,2,FALSE),"")</f>
        <v/>
      </c>
      <c r="GO6" s="75" t="str">
        <f>IFERROR(VLOOKUP(GO$2,#REF!,2,FALSE),"")</f>
        <v/>
      </c>
      <c r="GP6" s="75" t="str">
        <f>IFERROR(VLOOKUP(GP$2,#REF!,2,FALSE),"")</f>
        <v/>
      </c>
      <c r="GQ6" s="75" t="str">
        <f>IFERROR(VLOOKUP(GQ$2,#REF!,2,FALSE),"")</f>
        <v/>
      </c>
      <c r="GR6" s="75" t="str">
        <f>IFERROR(VLOOKUP(GR$2,#REF!,2,FALSE),"")</f>
        <v/>
      </c>
      <c r="GS6" s="75" t="str">
        <f>IFERROR(VLOOKUP(GS$2,#REF!,2,FALSE),"")</f>
        <v/>
      </c>
      <c r="GT6" s="75" t="str">
        <f>IFERROR(VLOOKUP(GT$2,#REF!,2,FALSE),"")</f>
        <v/>
      </c>
      <c r="GU6" s="75" t="str">
        <f>IFERROR(VLOOKUP(GU$2,#REF!,2,FALSE),"")</f>
        <v/>
      </c>
      <c r="GV6" s="75" t="str">
        <f>IFERROR(VLOOKUP(GV$2,#REF!,2,FALSE),"")</f>
        <v/>
      </c>
      <c r="GW6" s="75" t="str">
        <f>IFERROR(VLOOKUP(GW$2,#REF!,2,FALSE),"")</f>
        <v/>
      </c>
      <c r="GX6" s="75" t="str">
        <f>IFERROR(VLOOKUP(GX$2,#REF!,2,FALSE),"")</f>
        <v/>
      </c>
      <c r="GY6" s="75" t="str">
        <f>IFERROR(VLOOKUP(GY$2,#REF!,2,FALSE),"")</f>
        <v/>
      </c>
      <c r="GZ6" s="75" t="str">
        <f>IFERROR(VLOOKUP(GZ$2,#REF!,2,FALSE),"")</f>
        <v/>
      </c>
      <c r="HA6" s="75" t="str">
        <f>IFERROR(VLOOKUP(HA$2,#REF!,2,FALSE),"")</f>
        <v/>
      </c>
      <c r="HB6" s="75" t="str">
        <f>IFERROR(VLOOKUP(HB$2,#REF!,2,FALSE),"")</f>
        <v/>
      </c>
      <c r="HC6" s="75" t="str">
        <f>IFERROR(VLOOKUP(HC$2,#REF!,2,FALSE),"")</f>
        <v/>
      </c>
      <c r="HD6" s="75" t="str">
        <f>IFERROR(VLOOKUP(HD$2,#REF!,2,FALSE),"")</f>
        <v/>
      </c>
      <c r="HE6" s="75" t="str">
        <f>IFERROR(VLOOKUP(HE$2,#REF!,2,FALSE),"")</f>
        <v/>
      </c>
      <c r="HF6" s="75" t="str">
        <f>IFERROR(VLOOKUP(HF$2,#REF!,2,FALSE),"")</f>
        <v/>
      </c>
      <c r="HG6" s="75" t="str">
        <f>IFERROR(VLOOKUP(HG$2,#REF!,2,FALSE),"")</f>
        <v/>
      </c>
      <c r="HH6" s="75" t="str">
        <f>IFERROR(VLOOKUP(HH$2,#REF!,2,FALSE),"")</f>
        <v/>
      </c>
      <c r="HI6" s="75" t="str">
        <f>IFERROR(VLOOKUP(HI$2,#REF!,2,FALSE),"")</f>
        <v/>
      </c>
      <c r="HJ6" s="75" t="str">
        <f>IFERROR(VLOOKUP(HJ$2,#REF!,2,FALSE),"")</f>
        <v/>
      </c>
      <c r="HK6" s="75" t="str">
        <f>IFERROR(VLOOKUP(HK$2,#REF!,2,FALSE),"")</f>
        <v/>
      </c>
      <c r="HL6" s="75" t="str">
        <f>IFERROR(VLOOKUP(HL$2,#REF!,2,FALSE),"")</f>
        <v/>
      </c>
    </row>
    <row r="7" spans="1:231" x14ac:dyDescent="0.2">
      <c r="I7" s="173" t="str">
        <f t="shared" ref="I7:BT7" si="0">I2&amp;I6</f>
        <v>TV Básico PlusResidencial</v>
      </c>
      <c r="J7" s="173" t="str">
        <f t="shared" si="0"/>
        <v>TV Básico Plus NegocioNegocio</v>
      </c>
      <c r="K7" s="173" t="str">
        <f t="shared" si="0"/>
        <v>TV Básico Plus + 100 MegasResidencial</v>
      </c>
      <c r="L7" s="173" t="str">
        <f t="shared" si="0"/>
        <v>TV Básico Plus + 100 Megas SimetricoResidencial</v>
      </c>
      <c r="M7" s="173" t="str">
        <f t="shared" si="0"/>
        <v>TV Básico Plus + 1000 MegasResidencial</v>
      </c>
      <c r="N7" s="173" t="str">
        <f t="shared" si="0"/>
        <v>TV Básico Plus + 250 MegasResidencial</v>
      </c>
      <c r="O7" s="173" t="str">
        <f t="shared" si="0"/>
        <v>TV Básico Plus + 250 Megas SimetricoResidencial</v>
      </c>
      <c r="P7" s="173" t="str">
        <f t="shared" si="0"/>
        <v>TV Básico Plus + 500 MegasResidencial</v>
      </c>
      <c r="Q7" s="173" t="str">
        <f t="shared" si="0"/>
        <v>TV Básico Plus + 500 Megas SimetricoResidencial</v>
      </c>
      <c r="R7" s="173" t="str">
        <f t="shared" si="0"/>
        <v>TV Básico Plus + 60 MegasResidencial</v>
      </c>
      <c r="S7" s="173" t="str">
        <f t="shared" si="0"/>
        <v>TV Básico Plus + 60 Megas SimetricoResidencial</v>
      </c>
      <c r="T7" s="173" t="str">
        <f t="shared" si="0"/>
        <v>TV Básico Plus + HD + Telefonía + 100 MegasResidencial</v>
      </c>
      <c r="U7" s="173" t="str">
        <f t="shared" si="0"/>
        <v>TV Básico Plus + HD + Telefonía + 100 Megas SimetricoResidencial</v>
      </c>
      <c r="V7" s="173" t="str">
        <f t="shared" si="0"/>
        <v>TV Básico Plus + HD + Telefonía + 1000 MegasResidencial</v>
      </c>
      <c r="W7" s="173" t="str">
        <f t="shared" si="0"/>
        <v>TV Básico Plus + HD + Telefonía + 250 MegasResidencial</v>
      </c>
      <c r="X7" s="173" t="str">
        <f t="shared" si="0"/>
        <v>TV Básico Plus + HD + Telefonía + 250 Megas SimetricoResidencial</v>
      </c>
      <c r="Y7" s="173" t="str">
        <f t="shared" si="0"/>
        <v>TV Básico Plus + HD + Telefonía + 500 MegasResidencial</v>
      </c>
      <c r="Z7" s="173" t="str">
        <f t="shared" si="0"/>
        <v>TV Básico Plus + HD + Telefonía + 500 Megas SimetricoResidencial</v>
      </c>
      <c r="AA7" s="173" t="str">
        <f t="shared" si="0"/>
        <v>TV Básico Plus + HD + Telefonía + 60 MegasResidencial</v>
      </c>
      <c r="AB7" s="173" t="str">
        <f t="shared" si="0"/>
        <v>TV Básico Plus + HD + Telefonía + 60 Megas SimetricoResidencial</v>
      </c>
      <c r="AC7" s="173" t="str">
        <f t="shared" si="0"/>
        <v>TV Básico Plus + HD Negocio + Telefonía Negocio + 100 Megas NegocioNegocio</v>
      </c>
      <c r="AD7" s="173" t="str">
        <f t="shared" si="0"/>
        <v>TV Básico Plus + HD Negocio + Telefonía Negocio + 100 Megas Simetrico NegocioNegocio</v>
      </c>
      <c r="AE7" s="173" t="str">
        <f t="shared" si="0"/>
        <v>TV Básico Plus + HD Negocio + Telefonía Negocio + 1000 Megas NegocioNegocio</v>
      </c>
      <c r="AF7" s="173" t="str">
        <f t="shared" si="0"/>
        <v>TV Básico Plus + HD Negocio + Telefonía Negocio + 250 Megas NegocioNegocio</v>
      </c>
      <c r="AG7" s="173" t="str">
        <f t="shared" si="0"/>
        <v>TV Básico Plus + HD Negocio + Telefonía Negocio + 250 Megas Simetrico NegocioNegocio</v>
      </c>
      <c r="AH7" s="173" t="str">
        <f t="shared" si="0"/>
        <v>TV Básico Plus + HD Negocio + Telefonía Negocio + 500 Megas NegocioNegocio</v>
      </c>
      <c r="AI7" s="173" t="str">
        <f t="shared" si="0"/>
        <v>TV Básico Plus + HD Negocio + Telefonía Negocio + 500 Megas Simetrico NegocioNegocio</v>
      </c>
      <c r="AJ7" s="173" t="str">
        <f t="shared" si="0"/>
        <v>TV Básico Plus + HD Negocio + Telefonía Negocio + 60 Megas NegocioNegocio</v>
      </c>
      <c r="AK7" s="173" t="str">
        <f t="shared" si="0"/>
        <v>TV Básico Plus + HD Negocio + Telefonía Negocio + 60 Megas Simetrico NegocioNegocio</v>
      </c>
      <c r="AL7" s="173" t="str">
        <f t="shared" si="0"/>
        <v>TV Básico Plus Negocio + 100 Megas NegocioNegocio</v>
      </c>
      <c r="AM7" s="173" t="str">
        <f t="shared" si="0"/>
        <v>TV Básico Plus Negocio + 100 Megas Simetrico NegocioNegocio</v>
      </c>
      <c r="AN7" s="173" t="str">
        <f t="shared" si="0"/>
        <v>TV Básico Plus Negocio + 1000 Megas NegocioNegocio</v>
      </c>
      <c r="AO7" s="173" t="str">
        <f t="shared" si="0"/>
        <v>TV Básico Plus Negocio + 250 Megas NegocioNegocio</v>
      </c>
      <c r="AP7" s="173" t="str">
        <f t="shared" si="0"/>
        <v>TV Básico Plus Negocio + 250 Megas Simetrico NegocioNegocio</v>
      </c>
      <c r="AQ7" s="173" t="str">
        <f t="shared" si="0"/>
        <v>TV Básico Plus Negocio + 500 Megas NegocioNegocio</v>
      </c>
      <c r="AR7" s="173" t="str">
        <f t="shared" si="0"/>
        <v>TV Básico Plus Negocio + 500 Megas Simetrico NegocioNegocio</v>
      </c>
      <c r="AS7" s="173" t="str">
        <f t="shared" si="0"/>
        <v>TV Básico Plus Negocio + 60 Megas NegocioNegocio</v>
      </c>
      <c r="AT7" s="173" t="str">
        <f t="shared" si="0"/>
        <v>TV Básico Plus Negocio + 60 Megas Simetrico NegocioNegocio</v>
      </c>
      <c r="AU7" s="173" t="str">
        <f t="shared" si="0"/>
        <v>TV Básico Plus Xview+ + Telefonía + 100 MegasResidencial</v>
      </c>
      <c r="AV7" s="173" t="str">
        <f t="shared" si="0"/>
        <v>TV Básico Plus Xview+ + Telefonía + 100 Megas SimetricoResidencial</v>
      </c>
      <c r="AW7" s="173" t="str">
        <f t="shared" si="0"/>
        <v>TV Básico Plus Xview+ + Telefonía + 1000 MegasResidencial</v>
      </c>
      <c r="AX7" s="173" t="str">
        <f t="shared" si="0"/>
        <v>TV Básico Plus Xview+ + Telefonía + 250 MegasResidencial</v>
      </c>
      <c r="AY7" s="173" t="str">
        <f t="shared" si="0"/>
        <v>TV Básico Plus Xview+ + Telefonía + 250 Megas SimetricoResidencial</v>
      </c>
      <c r="AZ7" s="173" t="str">
        <f t="shared" si="0"/>
        <v>TV Básico Plus Xview+ + Telefonía + 500 MegasResidencial</v>
      </c>
      <c r="BA7" s="173" t="str">
        <f t="shared" si="0"/>
        <v>TV Básico Plus Xview+ + Telefonía + 500 Megas SimetricoResidencial</v>
      </c>
      <c r="BB7" s="173" t="str">
        <f t="shared" si="0"/>
        <v>TV Básico Plus Xview+ + Telefonía + 60 MegasResidencial</v>
      </c>
      <c r="BC7" s="173" t="str">
        <f t="shared" si="0"/>
        <v>TV Básico Plus Xview+ + Telefonía + 60 Megas SimetricoResidencial</v>
      </c>
      <c r="BD7" s="173" t="str">
        <f t="shared" si="0"/>
        <v>TV Básico Plus Xview+ Negocio + Telefonía Negocio + 100 Megas NegocioNegocio</v>
      </c>
      <c r="BE7" s="173" t="str">
        <f t="shared" si="0"/>
        <v>TV Básico Plus Xview+ Negocio + Telefonía Negocio + 100 Megas Simetrico NegocioNegocio</v>
      </c>
      <c r="BF7" s="173" t="str">
        <f t="shared" si="0"/>
        <v>TV Básico Plus Xview+ Negocio + Telefonía Negocio + 1000 Megas NegocioNegocio</v>
      </c>
      <c r="BG7" s="173" t="str">
        <f t="shared" si="0"/>
        <v>TV Básico Plus Xview+ Negocio + Telefonía Negocio + 250 Megas NegocioNegocio</v>
      </c>
      <c r="BH7" s="173" t="str">
        <f t="shared" si="0"/>
        <v>TV Básico Plus Xview+ Negocio + Telefonía Negocio + 250 Megas Simetrico NegocioNegocio</v>
      </c>
      <c r="BI7" s="173" t="str">
        <f t="shared" si="0"/>
        <v>TV Básico Plus Xview+ Negocio + Telefonía Negocio + 500 Megas NegocioNegocio</v>
      </c>
      <c r="BJ7" s="173" t="str">
        <f t="shared" si="0"/>
        <v>TV Básico Plus Xview+ Negocio + Telefonía Negocio + 500 Megas Simetrico NegocioNegocio</v>
      </c>
      <c r="BK7" s="173" t="str">
        <f t="shared" si="0"/>
        <v>TV Básico Plus Xview+ Negocio + Telefonía Negocio + 60 Megas NegocioNegocio</v>
      </c>
      <c r="BL7" s="173" t="str">
        <f t="shared" si="0"/>
        <v>TV Básico Plus Xview+ Negocio + Telefonía Negocio + 60 Megas Simetrico NegocioNegocio</v>
      </c>
      <c r="BM7" s="173" t="str">
        <f t="shared" si="0"/>
        <v>TV ConectaResidencial</v>
      </c>
      <c r="BN7" s="173" t="str">
        <f t="shared" si="0"/>
        <v>TV Conecta NegocioNegocio</v>
      </c>
      <c r="BO7" s="173" t="str">
        <f t="shared" si="0"/>
        <v>TV Conecta + 100 MegasResidencial</v>
      </c>
      <c r="BP7" s="173" t="str">
        <f t="shared" si="0"/>
        <v>TV Conecta + 100 Megas SimetricoResidencial</v>
      </c>
      <c r="BQ7" s="173" t="str">
        <f t="shared" si="0"/>
        <v>TV Conecta + 1000 MegasResidencial</v>
      </c>
      <c r="BR7" s="173" t="str">
        <f t="shared" si="0"/>
        <v>TV Conecta + 250 MegasResidencial</v>
      </c>
      <c r="BS7" s="173" t="str">
        <f t="shared" si="0"/>
        <v>TV Conecta + 250 Megas SimetricoResidencial</v>
      </c>
      <c r="BT7" s="173" t="str">
        <f t="shared" si="0"/>
        <v>TV Conecta + 500 MegasResidencial</v>
      </c>
      <c r="BU7" s="173" t="str">
        <f t="shared" ref="BU7:DQ7" si="1">BU2&amp;BU6</f>
        <v>TV Conecta + 500 Megas SimetricoResidencial</v>
      </c>
      <c r="BV7" s="173" t="str">
        <f t="shared" si="1"/>
        <v>TV Conecta + 60 MegasResidencial</v>
      </c>
      <c r="BW7" s="173" t="str">
        <f t="shared" si="1"/>
        <v>TV Conecta + 60 Megas SimetricoResidencial</v>
      </c>
      <c r="BX7" s="173" t="str">
        <f t="shared" si="1"/>
        <v>TV Conecta + HD + Telefonía + 100 MegasResidencial</v>
      </c>
      <c r="BY7" s="173" t="str">
        <f t="shared" si="1"/>
        <v>TV Conecta + HD + Telefonía + 100 Megas SimetricoResidencial</v>
      </c>
      <c r="BZ7" s="173" t="str">
        <f t="shared" si="1"/>
        <v>TV Conecta + HD + Telefonía + 1000 MegasResidencial</v>
      </c>
      <c r="CA7" s="173" t="str">
        <f t="shared" si="1"/>
        <v>TV Conecta + HD + Telefonía + 250 MegasResidencial</v>
      </c>
      <c r="CB7" s="173" t="str">
        <f t="shared" si="1"/>
        <v>TV Conecta + HD + Telefonía + 250 Megas SimetricoResidencial</v>
      </c>
      <c r="CC7" s="173" t="str">
        <f t="shared" si="1"/>
        <v>TV Conecta + HD + Telefonía + 500 MegasResidencial</v>
      </c>
      <c r="CD7" s="173" t="str">
        <f t="shared" si="1"/>
        <v>TV Conecta + HD + Telefonía + 500 Megas SimetricoResidencial</v>
      </c>
      <c r="CE7" s="173" t="str">
        <f t="shared" si="1"/>
        <v>TV Conecta + HD + Telefonía + 60 MegasResidencial</v>
      </c>
      <c r="CF7" s="173" t="str">
        <f t="shared" si="1"/>
        <v>TV Conecta + HD + Telefonía + 60 Megas SimetricoResidencial</v>
      </c>
      <c r="CG7" s="173" t="str">
        <f t="shared" si="1"/>
        <v>TV Conecta + HD Negocio + Telefonía Negocio + 100 Megas NegocioNegocio</v>
      </c>
      <c r="CH7" s="173" t="str">
        <f t="shared" si="1"/>
        <v>TV Conecta + HD Negocio + Telefonía Negocio + 100 Megas Simetrico NegocioNegocio</v>
      </c>
      <c r="CI7" s="173" t="str">
        <f t="shared" si="1"/>
        <v>TV Conecta + HD Negocio + Telefonía Negocio + 1000 Megas NegocioNegocio</v>
      </c>
      <c r="CJ7" s="173" t="str">
        <f t="shared" si="1"/>
        <v>TV Conecta + HD Negocio + Telefonía Negocio + 250 Megas NegocioNegocio</v>
      </c>
      <c r="CK7" s="173" t="str">
        <f t="shared" si="1"/>
        <v>TV Conecta + HD Negocio + Telefonía Negocio + 250 Megas Simetrico NegocioNegocio</v>
      </c>
      <c r="CL7" s="173" t="str">
        <f t="shared" si="1"/>
        <v>TV Conecta + HD Negocio + Telefonía Negocio + 500 Megas NegocioNegocio</v>
      </c>
      <c r="CM7" s="173" t="str">
        <f t="shared" si="1"/>
        <v>TV Conecta + HD Negocio + Telefonía Negocio + 500 Megas Simetrico NegocioNegocio</v>
      </c>
      <c r="CN7" s="173" t="str">
        <f t="shared" si="1"/>
        <v>TV Conecta + HD Negocio + Telefonía Negocio + 60 Megas NegocioNegocio</v>
      </c>
      <c r="CO7" s="173" t="str">
        <f t="shared" si="1"/>
        <v>TV Conecta + HD Negocio + Telefonía Negocio + 60 Megas Simetrico NegocioNegocio</v>
      </c>
      <c r="CP7" s="173" t="str">
        <f t="shared" si="1"/>
        <v>TV Conecta Negocio + 100 Megas NegocioNegocio</v>
      </c>
      <c r="CQ7" s="173" t="str">
        <f t="shared" si="1"/>
        <v>TV Conecta Negocio + 100 Megas Simetrico NegocioNegocio</v>
      </c>
      <c r="CR7" s="173" t="str">
        <f t="shared" si="1"/>
        <v>TV Conecta Negocio + 1000 Megas NegocioNegocio</v>
      </c>
      <c r="CS7" s="173" t="str">
        <f t="shared" si="1"/>
        <v>TV Conecta Negocio + 250 Megas NegocioNegocio</v>
      </c>
      <c r="CT7" s="173" t="str">
        <f t="shared" si="1"/>
        <v>TV Conecta Negocio + 250 Megas Simetrico NegocioNegocio</v>
      </c>
      <c r="CU7" s="173" t="str">
        <f t="shared" si="1"/>
        <v>TV Conecta Negocio + 500 Megas NegocioNegocio</v>
      </c>
      <c r="CV7" s="173" t="str">
        <f t="shared" si="1"/>
        <v>TV Conecta Negocio + 500 Megas Simetrico NegocioNegocio</v>
      </c>
      <c r="CW7" s="173" t="str">
        <f t="shared" si="1"/>
        <v>TV Conecta Negocio + 60 Megas NegocioNegocio</v>
      </c>
      <c r="CX7" s="173" t="str">
        <f t="shared" si="1"/>
        <v>TV Conecta Negocio + 60 Megas Simetrico NegocioNegocio</v>
      </c>
      <c r="CY7" s="173" t="str">
        <f t="shared" si="1"/>
        <v>TV Conecta Xview+ + Telefonía + 100 MegasResidencial</v>
      </c>
      <c r="CZ7" s="173" t="str">
        <f t="shared" si="1"/>
        <v>TV Conecta Xview+ + Telefonía + 100 Megas SimetricoResidencial</v>
      </c>
      <c r="DA7" s="173" t="str">
        <f t="shared" si="1"/>
        <v>TV Conecta Xview+ + Telefonía + 1000 MegasResidencial</v>
      </c>
      <c r="DB7" s="173" t="str">
        <f t="shared" si="1"/>
        <v>TV Conecta Xview+ + Telefonía + 250 MegasResidencial</v>
      </c>
      <c r="DC7" s="173" t="str">
        <f t="shared" si="1"/>
        <v>TV Conecta Xview+ + Telefonía + 250 Megas SimetricoResidencial</v>
      </c>
      <c r="DD7" s="173" t="str">
        <f t="shared" si="1"/>
        <v>TV Conecta Xview+ + Telefonía + 500 MegasResidencial</v>
      </c>
      <c r="DE7" s="173" t="str">
        <f t="shared" si="1"/>
        <v>TV Conecta Xview+ + Telefonía + 500 Megas SimetricoResidencial</v>
      </c>
      <c r="DF7" s="173" t="str">
        <f t="shared" si="1"/>
        <v>TV Conecta Xview+ + Telefonía + 60 MegasResidencial</v>
      </c>
      <c r="DG7" s="173" t="str">
        <f t="shared" si="1"/>
        <v>TV Conecta Xview+ + Telefonía + 60 Megas SimetricoResidencial</v>
      </c>
      <c r="DH7" s="173" t="str">
        <f t="shared" si="1"/>
        <v>TV Conecta Xview+ Negocio + Telefonía Negocio + 100 Megas NegocioNegocio</v>
      </c>
      <c r="DI7" s="173" t="str">
        <f t="shared" si="1"/>
        <v>TV Conecta Xview+ Negocio + Telefonía Negocio + 100 Megas Simetrico NegocioNegocio</v>
      </c>
      <c r="DJ7" s="173" t="str">
        <f t="shared" si="1"/>
        <v>TV Conecta Xview+ Negocio + Telefonía Negocio + 1000 Megas NegocioNegocio</v>
      </c>
      <c r="DK7" s="173" t="str">
        <f t="shared" si="1"/>
        <v>TV Conecta Xview+ Negocio + Telefonía Negocio + 250 Megas NegocioNegocio</v>
      </c>
      <c r="DL7" s="173" t="str">
        <f t="shared" si="1"/>
        <v>TV Conecta Xview+ Negocio + Telefonía Negocio + 250 Megas Simetrico NegocioNegocio</v>
      </c>
      <c r="DM7" s="173" t="str">
        <f t="shared" si="1"/>
        <v>TV Conecta Xview+ Negocio + Telefonía Negocio + 500 Megas NegocioNegocio</v>
      </c>
      <c r="DN7" s="173" t="str">
        <f t="shared" si="1"/>
        <v>TV Conecta Xview+ Negocio + Telefonía Negocio + 500 Megas Simetrico NegocioNegocio</v>
      </c>
      <c r="DO7" s="173" t="str">
        <f t="shared" si="1"/>
        <v>TV Conecta Xview+ Negocio + Telefonía Negocio + 60 Megas NegocioNegocio</v>
      </c>
      <c r="DP7" s="173" t="str">
        <f t="shared" si="1"/>
        <v>TV Conecta Xview+ Negocio + Telefonía Negocio + 60 Megas Simetrico NegocioNegocio</v>
      </c>
      <c r="DQ7" s="173" t="str">
        <f t="shared" si="1"/>
        <v>Full Connected HomeResidencial</v>
      </c>
    </row>
    <row r="8" spans="1:231" x14ac:dyDescent="0.2">
      <c r="C8" s="78" t="s">
        <v>397</v>
      </c>
      <c r="G8" s="61" t="s">
        <v>194</v>
      </c>
      <c r="H8" s="97">
        <f>SUM(vector.users.STAR)</f>
        <v>597271.84439999983</v>
      </c>
      <c r="I8" s="88">
        <f t="shared" ref="I8:AN8" si="2">IFERROR(VLOOKUP(I$7,APSM.STAR.subs.by.plan,6+MATCH(Year.selected,Years),FALSE),0)</f>
        <v>739.33859999999993</v>
      </c>
      <c r="J8" s="88">
        <f t="shared" si="2"/>
        <v>56.872199999999999</v>
      </c>
      <c r="K8" s="88">
        <f t="shared" si="2"/>
        <v>284.36099999999999</v>
      </c>
      <c r="L8" s="88">
        <f t="shared" si="2"/>
        <v>56.872199999999999</v>
      </c>
      <c r="M8" s="88">
        <f t="shared" si="2"/>
        <v>56.872199999999999</v>
      </c>
      <c r="N8" s="88">
        <f t="shared" si="2"/>
        <v>2559.2489999999998</v>
      </c>
      <c r="O8" s="88">
        <f t="shared" si="2"/>
        <v>0</v>
      </c>
      <c r="P8" s="88">
        <f t="shared" si="2"/>
        <v>2104.2714000000001</v>
      </c>
      <c r="Q8" s="88">
        <f t="shared" si="2"/>
        <v>0</v>
      </c>
      <c r="R8" s="88">
        <f t="shared" si="2"/>
        <v>7279.6415999999999</v>
      </c>
      <c r="S8" s="88">
        <f t="shared" si="2"/>
        <v>0</v>
      </c>
      <c r="T8" s="88">
        <f t="shared" si="2"/>
        <v>0</v>
      </c>
      <c r="U8" s="88">
        <f t="shared" si="2"/>
        <v>0</v>
      </c>
      <c r="V8" s="88">
        <f t="shared" si="2"/>
        <v>0</v>
      </c>
      <c r="W8" s="88">
        <f t="shared" si="2"/>
        <v>0</v>
      </c>
      <c r="X8" s="88">
        <f t="shared" si="2"/>
        <v>0</v>
      </c>
      <c r="Y8" s="88">
        <f t="shared" si="2"/>
        <v>0</v>
      </c>
      <c r="Z8" s="88">
        <f t="shared" si="2"/>
        <v>0</v>
      </c>
      <c r="AA8" s="88">
        <f t="shared" si="2"/>
        <v>0</v>
      </c>
      <c r="AB8" s="88">
        <f t="shared" si="2"/>
        <v>0</v>
      </c>
      <c r="AC8" s="88">
        <f t="shared" si="2"/>
        <v>0</v>
      </c>
      <c r="AD8" s="88">
        <f t="shared" si="2"/>
        <v>0</v>
      </c>
      <c r="AE8" s="88">
        <f t="shared" si="2"/>
        <v>0</v>
      </c>
      <c r="AF8" s="88">
        <f t="shared" si="2"/>
        <v>0</v>
      </c>
      <c r="AG8" s="88">
        <f t="shared" si="2"/>
        <v>0</v>
      </c>
      <c r="AH8" s="88">
        <f t="shared" si="2"/>
        <v>0</v>
      </c>
      <c r="AI8" s="88">
        <f t="shared" si="2"/>
        <v>0</v>
      </c>
      <c r="AJ8" s="88">
        <f t="shared" si="2"/>
        <v>0</v>
      </c>
      <c r="AK8" s="88">
        <f t="shared" si="2"/>
        <v>0</v>
      </c>
      <c r="AL8" s="88">
        <f t="shared" si="2"/>
        <v>56.872199999999999</v>
      </c>
      <c r="AM8" s="88">
        <f t="shared" si="2"/>
        <v>0</v>
      </c>
      <c r="AN8" s="88">
        <f t="shared" si="2"/>
        <v>56.872199999999999</v>
      </c>
      <c r="AO8" s="88">
        <f t="shared" ref="AO8:BT8" si="3">IFERROR(VLOOKUP(AO$7,APSM.STAR.subs.by.plan,6+MATCH(Year.selected,Years),FALSE),0)</f>
        <v>227.4888</v>
      </c>
      <c r="AP8" s="88">
        <f t="shared" si="3"/>
        <v>0</v>
      </c>
      <c r="AQ8" s="88">
        <f t="shared" si="3"/>
        <v>56.872199999999999</v>
      </c>
      <c r="AR8" s="88">
        <f t="shared" si="3"/>
        <v>0</v>
      </c>
      <c r="AS8" s="88">
        <f t="shared" si="3"/>
        <v>398.10539999999997</v>
      </c>
      <c r="AT8" s="88">
        <f t="shared" si="3"/>
        <v>0</v>
      </c>
      <c r="AU8" s="88">
        <f t="shared" si="3"/>
        <v>12113.7786</v>
      </c>
      <c r="AV8" s="88">
        <f t="shared" si="3"/>
        <v>56.872199999999999</v>
      </c>
      <c r="AW8" s="88">
        <f t="shared" si="3"/>
        <v>5630.3478000000005</v>
      </c>
      <c r="AX8" s="88">
        <f t="shared" si="3"/>
        <v>31620.943199999998</v>
      </c>
      <c r="AY8" s="88">
        <f t="shared" si="3"/>
        <v>56.872199999999999</v>
      </c>
      <c r="AZ8" s="88">
        <f t="shared" si="3"/>
        <v>6938.4084000000003</v>
      </c>
      <c r="BA8" s="88">
        <f t="shared" si="3"/>
        <v>56.872199999999999</v>
      </c>
      <c r="BB8" s="88">
        <f t="shared" si="3"/>
        <v>36113.847000000002</v>
      </c>
      <c r="BC8" s="88">
        <f t="shared" si="3"/>
        <v>56.872199999999999</v>
      </c>
      <c r="BD8" s="88">
        <f t="shared" si="3"/>
        <v>1080.5717999999999</v>
      </c>
      <c r="BE8" s="88">
        <f t="shared" si="3"/>
        <v>56.872199999999999</v>
      </c>
      <c r="BF8" s="88">
        <f t="shared" si="3"/>
        <v>56.872199999999999</v>
      </c>
      <c r="BG8" s="88">
        <f t="shared" si="3"/>
        <v>1137.444</v>
      </c>
      <c r="BH8" s="88">
        <f t="shared" si="3"/>
        <v>56.872199999999999</v>
      </c>
      <c r="BI8" s="88">
        <f t="shared" si="3"/>
        <v>568.72199999999998</v>
      </c>
      <c r="BJ8" s="88">
        <f t="shared" si="3"/>
        <v>56.872199999999999</v>
      </c>
      <c r="BK8" s="88">
        <f t="shared" si="3"/>
        <v>1023.6995999999999</v>
      </c>
      <c r="BL8" s="88">
        <f t="shared" si="3"/>
        <v>56.872199999999999</v>
      </c>
      <c r="BM8" s="88">
        <f t="shared" si="3"/>
        <v>682.46639999999991</v>
      </c>
      <c r="BN8" s="88">
        <f t="shared" si="3"/>
        <v>56.872199999999999</v>
      </c>
      <c r="BO8" s="88">
        <f t="shared" si="3"/>
        <v>284.36099999999999</v>
      </c>
      <c r="BP8" s="88">
        <f t="shared" si="3"/>
        <v>0</v>
      </c>
      <c r="BQ8" s="88">
        <f t="shared" si="3"/>
        <v>0</v>
      </c>
      <c r="BR8" s="88">
        <f t="shared" si="3"/>
        <v>7677.7470000000003</v>
      </c>
      <c r="BS8" s="88">
        <f t="shared" si="3"/>
        <v>0</v>
      </c>
      <c r="BT8" s="88">
        <f t="shared" si="3"/>
        <v>113.7444</v>
      </c>
      <c r="BU8" s="88">
        <f t="shared" ref="BU8:CZ8" si="4">IFERROR(VLOOKUP(BU$7,APSM.STAR.subs.by.plan,6+MATCH(Year.selected,Years),FALSE),0)</f>
        <v>0</v>
      </c>
      <c r="BV8" s="88">
        <f t="shared" si="4"/>
        <v>8587.7021999999997</v>
      </c>
      <c r="BW8" s="88">
        <f t="shared" si="4"/>
        <v>56.872199999999999</v>
      </c>
      <c r="BX8" s="88">
        <f t="shared" si="4"/>
        <v>0</v>
      </c>
      <c r="BY8" s="88">
        <f t="shared" si="4"/>
        <v>0</v>
      </c>
      <c r="BZ8" s="88">
        <f t="shared" si="4"/>
        <v>0</v>
      </c>
      <c r="CA8" s="88">
        <f t="shared" si="4"/>
        <v>0</v>
      </c>
      <c r="CB8" s="88">
        <f t="shared" si="4"/>
        <v>0</v>
      </c>
      <c r="CC8" s="88">
        <f t="shared" si="4"/>
        <v>0</v>
      </c>
      <c r="CD8" s="88">
        <f t="shared" si="4"/>
        <v>0</v>
      </c>
      <c r="CE8" s="88">
        <f t="shared" si="4"/>
        <v>0</v>
      </c>
      <c r="CF8" s="88">
        <f t="shared" si="4"/>
        <v>0</v>
      </c>
      <c r="CG8" s="88">
        <f t="shared" si="4"/>
        <v>0</v>
      </c>
      <c r="CH8" s="88">
        <f t="shared" si="4"/>
        <v>0</v>
      </c>
      <c r="CI8" s="88">
        <f t="shared" si="4"/>
        <v>0</v>
      </c>
      <c r="CJ8" s="88">
        <f t="shared" si="4"/>
        <v>0</v>
      </c>
      <c r="CK8" s="88">
        <f t="shared" si="4"/>
        <v>0</v>
      </c>
      <c r="CL8" s="88">
        <f t="shared" si="4"/>
        <v>0</v>
      </c>
      <c r="CM8" s="88">
        <f t="shared" si="4"/>
        <v>0</v>
      </c>
      <c r="CN8" s="88">
        <f t="shared" si="4"/>
        <v>0</v>
      </c>
      <c r="CO8" s="88">
        <f t="shared" si="4"/>
        <v>0</v>
      </c>
      <c r="CP8" s="88">
        <f t="shared" si="4"/>
        <v>113.7444</v>
      </c>
      <c r="CQ8" s="88">
        <f t="shared" si="4"/>
        <v>0</v>
      </c>
      <c r="CR8" s="88">
        <f t="shared" si="4"/>
        <v>56.872199999999999</v>
      </c>
      <c r="CS8" s="88">
        <f t="shared" si="4"/>
        <v>1080.5717999999999</v>
      </c>
      <c r="CT8" s="88">
        <f t="shared" si="4"/>
        <v>0</v>
      </c>
      <c r="CU8" s="88">
        <f t="shared" si="4"/>
        <v>56.872199999999999</v>
      </c>
      <c r="CV8" s="88">
        <f t="shared" si="4"/>
        <v>0</v>
      </c>
      <c r="CW8" s="88">
        <f t="shared" si="4"/>
        <v>3981.0540000000001</v>
      </c>
      <c r="CX8" s="88">
        <f t="shared" si="4"/>
        <v>0</v>
      </c>
      <c r="CY8" s="88">
        <f t="shared" si="4"/>
        <v>140815.56719999999</v>
      </c>
      <c r="CZ8" s="88">
        <f t="shared" si="4"/>
        <v>56.872199999999999</v>
      </c>
      <c r="DA8" s="88">
        <f t="shared" ref="DA8:DQ8" si="5">IFERROR(VLOOKUP(DA$7,APSM.STAR.subs.by.plan,6+MATCH(Year.selected,Years),FALSE),0)</f>
        <v>113.7444</v>
      </c>
      <c r="DB8" s="88">
        <f t="shared" si="5"/>
        <v>49706.302800000005</v>
      </c>
      <c r="DC8" s="88">
        <f t="shared" si="5"/>
        <v>56.872199999999999</v>
      </c>
      <c r="DD8" s="88">
        <f t="shared" si="5"/>
        <v>1819.9104</v>
      </c>
      <c r="DE8" s="88">
        <f t="shared" si="5"/>
        <v>56.872199999999999</v>
      </c>
      <c r="DF8" s="88">
        <f t="shared" si="5"/>
        <v>245744.77619999999</v>
      </c>
      <c r="DG8" s="88">
        <f t="shared" si="5"/>
        <v>56.872199999999999</v>
      </c>
      <c r="DH8" s="88">
        <f t="shared" si="5"/>
        <v>5573.4755999999998</v>
      </c>
      <c r="DI8" s="88">
        <f t="shared" si="5"/>
        <v>56.872199999999999</v>
      </c>
      <c r="DJ8" s="88">
        <f t="shared" si="5"/>
        <v>56.872199999999999</v>
      </c>
      <c r="DK8" s="88">
        <f t="shared" si="5"/>
        <v>3412.3319999999999</v>
      </c>
      <c r="DL8" s="88">
        <f t="shared" si="5"/>
        <v>56.872199999999999</v>
      </c>
      <c r="DM8" s="88">
        <f t="shared" si="5"/>
        <v>170.61659999999998</v>
      </c>
      <c r="DN8" s="88">
        <f t="shared" si="5"/>
        <v>56.872199999999999</v>
      </c>
      <c r="DO8" s="88">
        <f t="shared" si="5"/>
        <v>10862.590199999999</v>
      </c>
      <c r="DP8" s="88">
        <f t="shared" si="5"/>
        <v>56.872199999999999</v>
      </c>
      <c r="DQ8" s="88">
        <f t="shared" si="5"/>
        <v>5118.4979999999996</v>
      </c>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41" t="s">
        <v>459</v>
      </c>
      <c r="HP8" s="98" t="e">
        <f>INDEX(Broadbad.suscriptions.AEP,MATCH(Year.selected,Years))=H8</f>
        <v>#NAME?</v>
      </c>
      <c r="HQ8" t="s">
        <v>197</v>
      </c>
    </row>
    <row r="9" spans="1:231" x14ac:dyDescent="0.2">
      <c r="C9" s="79" t="s">
        <v>188</v>
      </c>
      <c r="G9" s="61" t="s">
        <v>138</v>
      </c>
      <c r="H9" s="99">
        <f>SUM(vector.distribution.users.STAR)</f>
        <v>1.0501999999999996</v>
      </c>
      <c r="I9" s="80">
        <f t="shared" ref="I9:AN9" si="6">IFERROR(VLOOKUP(I$7,APSM.STAR.distribution.by.plan,6+MATCH(Year.selected,Years),FALSE),0)</f>
        <v>1.2999999999999999E-3</v>
      </c>
      <c r="J9" s="80">
        <f t="shared" si="6"/>
        <v>1E-4</v>
      </c>
      <c r="K9" s="80">
        <f t="shared" si="6"/>
        <v>5.0000000000000001E-4</v>
      </c>
      <c r="L9" s="80">
        <f t="shared" si="6"/>
        <v>1E-4</v>
      </c>
      <c r="M9" s="80">
        <f t="shared" si="6"/>
        <v>1E-4</v>
      </c>
      <c r="N9" s="80">
        <f t="shared" si="6"/>
        <v>4.4999999999999997E-3</v>
      </c>
      <c r="O9" s="80">
        <f t="shared" si="6"/>
        <v>0</v>
      </c>
      <c r="P9" s="80">
        <f t="shared" si="6"/>
        <v>3.7000000000000002E-3</v>
      </c>
      <c r="Q9" s="80">
        <f t="shared" si="6"/>
        <v>0</v>
      </c>
      <c r="R9" s="80">
        <f t="shared" si="6"/>
        <v>1.2800000000000001E-2</v>
      </c>
      <c r="S9" s="80">
        <f t="shared" si="6"/>
        <v>0</v>
      </c>
      <c r="T9" s="80">
        <f t="shared" si="6"/>
        <v>0</v>
      </c>
      <c r="U9" s="80">
        <f t="shared" si="6"/>
        <v>0</v>
      </c>
      <c r="V9" s="80">
        <f t="shared" si="6"/>
        <v>0</v>
      </c>
      <c r="W9" s="80">
        <f t="shared" si="6"/>
        <v>0</v>
      </c>
      <c r="X9" s="80">
        <f t="shared" si="6"/>
        <v>0</v>
      </c>
      <c r="Y9" s="80">
        <f t="shared" si="6"/>
        <v>0</v>
      </c>
      <c r="Z9" s="80">
        <f t="shared" si="6"/>
        <v>0</v>
      </c>
      <c r="AA9" s="80">
        <f t="shared" si="6"/>
        <v>0</v>
      </c>
      <c r="AB9" s="80">
        <f t="shared" si="6"/>
        <v>0</v>
      </c>
      <c r="AC9" s="80">
        <f t="shared" si="6"/>
        <v>0</v>
      </c>
      <c r="AD9" s="80">
        <f t="shared" si="6"/>
        <v>0</v>
      </c>
      <c r="AE9" s="80">
        <f t="shared" si="6"/>
        <v>0</v>
      </c>
      <c r="AF9" s="80">
        <f t="shared" si="6"/>
        <v>0</v>
      </c>
      <c r="AG9" s="80">
        <f t="shared" si="6"/>
        <v>0</v>
      </c>
      <c r="AH9" s="80">
        <f t="shared" si="6"/>
        <v>0</v>
      </c>
      <c r="AI9" s="80">
        <f t="shared" si="6"/>
        <v>0</v>
      </c>
      <c r="AJ9" s="80">
        <f t="shared" si="6"/>
        <v>0</v>
      </c>
      <c r="AK9" s="80">
        <f t="shared" si="6"/>
        <v>0</v>
      </c>
      <c r="AL9" s="80">
        <f t="shared" si="6"/>
        <v>1E-4</v>
      </c>
      <c r="AM9" s="80">
        <f t="shared" si="6"/>
        <v>0</v>
      </c>
      <c r="AN9" s="80">
        <f t="shared" si="6"/>
        <v>1E-4</v>
      </c>
      <c r="AO9" s="80">
        <f t="shared" ref="AO9:BT9" si="7">IFERROR(VLOOKUP(AO$7,APSM.STAR.distribution.by.plan,6+MATCH(Year.selected,Years),FALSE),0)</f>
        <v>4.0000000000000002E-4</v>
      </c>
      <c r="AP9" s="80">
        <f t="shared" si="7"/>
        <v>0</v>
      </c>
      <c r="AQ9" s="80">
        <f t="shared" si="7"/>
        <v>1E-4</v>
      </c>
      <c r="AR9" s="80">
        <f t="shared" si="7"/>
        <v>0</v>
      </c>
      <c r="AS9" s="80">
        <f t="shared" si="7"/>
        <v>6.9999999999999999E-4</v>
      </c>
      <c r="AT9" s="80">
        <f t="shared" si="7"/>
        <v>0</v>
      </c>
      <c r="AU9" s="80">
        <f t="shared" si="7"/>
        <v>2.1299999999999999E-2</v>
      </c>
      <c r="AV9" s="80">
        <f t="shared" si="7"/>
        <v>1E-4</v>
      </c>
      <c r="AW9" s="80">
        <f t="shared" si="7"/>
        <v>9.9000000000000008E-3</v>
      </c>
      <c r="AX9" s="80">
        <f t="shared" si="7"/>
        <v>5.5599999999999997E-2</v>
      </c>
      <c r="AY9" s="80">
        <f t="shared" si="7"/>
        <v>1E-4</v>
      </c>
      <c r="AZ9" s="80">
        <f t="shared" si="7"/>
        <v>1.2200000000000001E-2</v>
      </c>
      <c r="BA9" s="80">
        <f t="shared" si="7"/>
        <v>1E-4</v>
      </c>
      <c r="BB9" s="80">
        <f t="shared" si="7"/>
        <v>6.3500000000000001E-2</v>
      </c>
      <c r="BC9" s="80">
        <f t="shared" si="7"/>
        <v>1E-4</v>
      </c>
      <c r="BD9" s="80">
        <f t="shared" si="7"/>
        <v>1.9E-3</v>
      </c>
      <c r="BE9" s="80">
        <f t="shared" si="7"/>
        <v>1E-4</v>
      </c>
      <c r="BF9" s="80">
        <f t="shared" si="7"/>
        <v>1E-4</v>
      </c>
      <c r="BG9" s="80">
        <f t="shared" si="7"/>
        <v>2E-3</v>
      </c>
      <c r="BH9" s="80">
        <f t="shared" si="7"/>
        <v>1E-4</v>
      </c>
      <c r="BI9" s="80">
        <f t="shared" si="7"/>
        <v>1E-3</v>
      </c>
      <c r="BJ9" s="80">
        <f t="shared" si="7"/>
        <v>1E-4</v>
      </c>
      <c r="BK9" s="80">
        <f t="shared" si="7"/>
        <v>1.8E-3</v>
      </c>
      <c r="BL9" s="80">
        <f t="shared" si="7"/>
        <v>1E-4</v>
      </c>
      <c r="BM9" s="80">
        <f t="shared" si="7"/>
        <v>1.1999999999999999E-3</v>
      </c>
      <c r="BN9" s="80">
        <f t="shared" si="7"/>
        <v>1E-4</v>
      </c>
      <c r="BO9" s="80">
        <f t="shared" si="7"/>
        <v>5.0000000000000001E-4</v>
      </c>
      <c r="BP9" s="80">
        <f t="shared" si="7"/>
        <v>0</v>
      </c>
      <c r="BQ9" s="80">
        <f t="shared" si="7"/>
        <v>0</v>
      </c>
      <c r="BR9" s="80">
        <f t="shared" si="7"/>
        <v>1.35E-2</v>
      </c>
      <c r="BS9" s="80">
        <f t="shared" si="7"/>
        <v>0</v>
      </c>
      <c r="BT9" s="80">
        <f t="shared" si="7"/>
        <v>2.0000000000000001E-4</v>
      </c>
      <c r="BU9" s="80">
        <f t="shared" ref="BU9:CZ9" si="8">IFERROR(VLOOKUP(BU$7,APSM.STAR.distribution.by.plan,6+MATCH(Year.selected,Years),FALSE),0)</f>
        <v>0</v>
      </c>
      <c r="BV9" s="80">
        <f t="shared" si="8"/>
        <v>1.5100000000000001E-2</v>
      </c>
      <c r="BW9" s="80">
        <f t="shared" si="8"/>
        <v>1E-4</v>
      </c>
      <c r="BX9" s="80">
        <f t="shared" si="8"/>
        <v>0</v>
      </c>
      <c r="BY9" s="80">
        <f t="shared" si="8"/>
        <v>0</v>
      </c>
      <c r="BZ9" s="80">
        <f t="shared" si="8"/>
        <v>0</v>
      </c>
      <c r="CA9" s="80">
        <f t="shared" si="8"/>
        <v>0</v>
      </c>
      <c r="CB9" s="80">
        <f t="shared" si="8"/>
        <v>0</v>
      </c>
      <c r="CC9" s="80">
        <f t="shared" si="8"/>
        <v>0</v>
      </c>
      <c r="CD9" s="80">
        <f t="shared" si="8"/>
        <v>0</v>
      </c>
      <c r="CE9" s="80">
        <f t="shared" si="8"/>
        <v>0</v>
      </c>
      <c r="CF9" s="80">
        <f t="shared" si="8"/>
        <v>0</v>
      </c>
      <c r="CG9" s="80">
        <f t="shared" si="8"/>
        <v>0</v>
      </c>
      <c r="CH9" s="80">
        <f t="shared" si="8"/>
        <v>0</v>
      </c>
      <c r="CI9" s="80">
        <f t="shared" si="8"/>
        <v>0</v>
      </c>
      <c r="CJ9" s="80">
        <f t="shared" si="8"/>
        <v>0</v>
      </c>
      <c r="CK9" s="80">
        <f t="shared" si="8"/>
        <v>0</v>
      </c>
      <c r="CL9" s="80">
        <f t="shared" si="8"/>
        <v>0</v>
      </c>
      <c r="CM9" s="80">
        <f t="shared" si="8"/>
        <v>0</v>
      </c>
      <c r="CN9" s="80">
        <f t="shared" si="8"/>
        <v>0</v>
      </c>
      <c r="CO9" s="80">
        <f t="shared" si="8"/>
        <v>0</v>
      </c>
      <c r="CP9" s="80">
        <f t="shared" si="8"/>
        <v>2.0000000000000001E-4</v>
      </c>
      <c r="CQ9" s="80">
        <f t="shared" si="8"/>
        <v>0</v>
      </c>
      <c r="CR9" s="80">
        <f t="shared" si="8"/>
        <v>1E-4</v>
      </c>
      <c r="CS9" s="80">
        <f t="shared" si="8"/>
        <v>1.9E-3</v>
      </c>
      <c r="CT9" s="80">
        <f t="shared" si="8"/>
        <v>0</v>
      </c>
      <c r="CU9" s="80">
        <f t="shared" si="8"/>
        <v>1E-4</v>
      </c>
      <c r="CV9" s="80">
        <f t="shared" si="8"/>
        <v>0</v>
      </c>
      <c r="CW9" s="80">
        <f t="shared" si="8"/>
        <v>7.0000000000000001E-3</v>
      </c>
      <c r="CX9" s="80">
        <f t="shared" si="8"/>
        <v>0</v>
      </c>
      <c r="CY9" s="80">
        <f t="shared" si="8"/>
        <v>0.24759999999999999</v>
      </c>
      <c r="CZ9" s="80">
        <f t="shared" si="8"/>
        <v>1E-4</v>
      </c>
      <c r="DA9" s="80">
        <f t="shared" ref="DA9:DQ9" si="9">IFERROR(VLOOKUP(DA$7,APSM.STAR.distribution.by.plan,6+MATCH(Year.selected,Years),FALSE),0)</f>
        <v>2.0000000000000001E-4</v>
      </c>
      <c r="DB9" s="80">
        <f t="shared" si="9"/>
        <v>8.7400000000000005E-2</v>
      </c>
      <c r="DC9" s="80">
        <f t="shared" si="9"/>
        <v>1E-4</v>
      </c>
      <c r="DD9" s="80">
        <f t="shared" si="9"/>
        <v>3.2000000000000002E-3</v>
      </c>
      <c r="DE9" s="80">
        <f t="shared" si="9"/>
        <v>1E-4</v>
      </c>
      <c r="DF9" s="80">
        <f t="shared" si="9"/>
        <v>0.43209999999999998</v>
      </c>
      <c r="DG9" s="80">
        <f t="shared" si="9"/>
        <v>1E-4</v>
      </c>
      <c r="DH9" s="80">
        <f t="shared" si="9"/>
        <v>9.7999999999999997E-3</v>
      </c>
      <c r="DI9" s="80">
        <f t="shared" si="9"/>
        <v>1E-4</v>
      </c>
      <c r="DJ9" s="80">
        <f t="shared" si="9"/>
        <v>1E-4</v>
      </c>
      <c r="DK9" s="80">
        <f t="shared" si="9"/>
        <v>6.0000000000000001E-3</v>
      </c>
      <c r="DL9" s="80">
        <f t="shared" si="9"/>
        <v>1E-4</v>
      </c>
      <c r="DM9" s="80">
        <f t="shared" si="9"/>
        <v>2.9999999999999997E-4</v>
      </c>
      <c r="DN9" s="80">
        <f t="shared" si="9"/>
        <v>1E-4</v>
      </c>
      <c r="DO9" s="80">
        <f t="shared" si="9"/>
        <v>1.9099999999999999E-2</v>
      </c>
      <c r="DP9" s="80">
        <f t="shared" si="9"/>
        <v>1E-4</v>
      </c>
      <c r="DQ9" s="80">
        <f t="shared" si="9"/>
        <v>8.9999999999999993E-3</v>
      </c>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41" t="s">
        <v>401</v>
      </c>
    </row>
    <row r="10" spans="1:231" x14ac:dyDescent="0.2">
      <c r="C10" s="78"/>
    </row>
    <row r="11" spans="1:231" x14ac:dyDescent="0.2">
      <c r="C11" s="78" t="s">
        <v>190</v>
      </c>
    </row>
    <row r="12" spans="1:231" x14ac:dyDescent="0.2">
      <c r="C12" s="79" t="s">
        <v>191</v>
      </c>
      <c r="G12" s="61" t="s">
        <v>195</v>
      </c>
      <c r="I12" s="101">
        <v>12</v>
      </c>
      <c r="J12" s="101">
        <v>12</v>
      </c>
      <c r="K12" s="101">
        <v>12</v>
      </c>
      <c r="L12" s="101">
        <v>12</v>
      </c>
      <c r="M12" s="101">
        <v>12</v>
      </c>
      <c r="N12" s="101">
        <v>12</v>
      </c>
      <c r="O12" s="101">
        <v>12</v>
      </c>
      <c r="P12" s="101">
        <v>12</v>
      </c>
      <c r="Q12" s="101">
        <v>12</v>
      </c>
      <c r="R12" s="101">
        <v>12</v>
      </c>
      <c r="S12" s="101">
        <v>12</v>
      </c>
      <c r="T12" s="101">
        <v>12</v>
      </c>
      <c r="U12" s="101">
        <v>12</v>
      </c>
      <c r="V12" s="101">
        <v>12</v>
      </c>
      <c r="W12" s="101">
        <v>12</v>
      </c>
      <c r="X12" s="101">
        <v>12</v>
      </c>
      <c r="Y12" s="101">
        <v>12</v>
      </c>
      <c r="Z12" s="101">
        <v>12</v>
      </c>
      <c r="AA12" s="101">
        <v>12</v>
      </c>
      <c r="AB12" s="101">
        <v>12</v>
      </c>
      <c r="AC12" s="101">
        <v>12</v>
      </c>
      <c r="AD12" s="101">
        <v>12</v>
      </c>
      <c r="AE12" s="101">
        <v>12</v>
      </c>
      <c r="AF12" s="101">
        <v>12</v>
      </c>
      <c r="AG12" s="101">
        <v>12</v>
      </c>
      <c r="AH12" s="101">
        <v>12</v>
      </c>
      <c r="AI12" s="101">
        <v>12</v>
      </c>
      <c r="AJ12" s="101">
        <v>12</v>
      </c>
      <c r="AK12" s="101">
        <v>12</v>
      </c>
      <c r="AL12" s="101">
        <v>12</v>
      </c>
      <c r="AM12" s="101">
        <v>12</v>
      </c>
      <c r="AN12" s="101">
        <v>12</v>
      </c>
      <c r="AO12" s="101">
        <v>12</v>
      </c>
      <c r="AP12" s="101">
        <v>12</v>
      </c>
      <c r="AQ12" s="101">
        <v>12</v>
      </c>
      <c r="AR12" s="101">
        <v>12</v>
      </c>
      <c r="AS12" s="101">
        <v>12</v>
      </c>
      <c r="AT12" s="101">
        <v>12</v>
      </c>
      <c r="AU12" s="101">
        <v>12</v>
      </c>
      <c r="AV12" s="101">
        <v>12</v>
      </c>
      <c r="AW12" s="101">
        <v>12</v>
      </c>
      <c r="AX12" s="101">
        <v>12</v>
      </c>
      <c r="AY12" s="101">
        <v>12</v>
      </c>
      <c r="AZ12" s="101">
        <v>12</v>
      </c>
      <c r="BA12" s="101">
        <v>12</v>
      </c>
      <c r="BB12" s="101">
        <v>12</v>
      </c>
      <c r="BC12" s="101">
        <v>12</v>
      </c>
      <c r="BD12" s="101">
        <v>12</v>
      </c>
      <c r="BE12" s="101">
        <v>12</v>
      </c>
      <c r="BF12" s="101">
        <v>12</v>
      </c>
      <c r="BG12" s="101">
        <v>12</v>
      </c>
      <c r="BH12" s="101">
        <v>12</v>
      </c>
      <c r="BI12" s="101">
        <v>12</v>
      </c>
      <c r="BJ12" s="101">
        <v>12</v>
      </c>
      <c r="BK12" s="101">
        <v>12</v>
      </c>
      <c r="BL12" s="101">
        <v>12</v>
      </c>
      <c r="BM12" s="101">
        <v>12</v>
      </c>
      <c r="BN12" s="101">
        <v>12</v>
      </c>
      <c r="BO12" s="101">
        <v>12</v>
      </c>
      <c r="BP12" s="101">
        <v>12</v>
      </c>
      <c r="BQ12" s="101">
        <v>12</v>
      </c>
      <c r="BR12" s="101">
        <v>12</v>
      </c>
      <c r="BS12" s="101">
        <v>12</v>
      </c>
      <c r="BT12" s="101">
        <v>12</v>
      </c>
      <c r="BU12" s="101">
        <v>12</v>
      </c>
      <c r="BV12" s="101">
        <v>12</v>
      </c>
      <c r="BW12" s="101">
        <v>12</v>
      </c>
      <c r="BX12" s="101">
        <v>12</v>
      </c>
      <c r="BY12" s="101">
        <v>12</v>
      </c>
      <c r="BZ12" s="101">
        <v>12</v>
      </c>
      <c r="CA12" s="101">
        <v>12</v>
      </c>
      <c r="CB12" s="101">
        <v>12</v>
      </c>
      <c r="CC12" s="101">
        <v>12</v>
      </c>
      <c r="CD12" s="101">
        <v>12</v>
      </c>
      <c r="CE12" s="101">
        <v>12</v>
      </c>
      <c r="CF12" s="101">
        <v>12</v>
      </c>
      <c r="CG12" s="101">
        <v>12</v>
      </c>
      <c r="CH12" s="101">
        <v>12</v>
      </c>
      <c r="CI12" s="101">
        <v>12</v>
      </c>
      <c r="CJ12" s="101">
        <v>12</v>
      </c>
      <c r="CK12" s="101">
        <v>12</v>
      </c>
      <c r="CL12" s="101">
        <v>12</v>
      </c>
      <c r="CM12" s="101">
        <v>12</v>
      </c>
      <c r="CN12" s="101">
        <v>12</v>
      </c>
      <c r="CO12" s="101">
        <v>12</v>
      </c>
      <c r="CP12" s="101">
        <v>12</v>
      </c>
      <c r="CQ12" s="101">
        <v>12</v>
      </c>
      <c r="CR12" s="101">
        <v>12</v>
      </c>
      <c r="CS12" s="101">
        <v>12</v>
      </c>
      <c r="CT12" s="101">
        <v>12</v>
      </c>
      <c r="CU12" s="101">
        <v>12</v>
      </c>
      <c r="CV12" s="101">
        <v>12</v>
      </c>
      <c r="CW12" s="101">
        <v>12</v>
      </c>
      <c r="CX12" s="101">
        <v>12</v>
      </c>
      <c r="CY12" s="101">
        <v>12</v>
      </c>
      <c r="CZ12" s="101">
        <v>12</v>
      </c>
      <c r="DA12" s="101">
        <v>12</v>
      </c>
      <c r="DB12" s="101">
        <v>12</v>
      </c>
      <c r="DC12" s="101">
        <v>12</v>
      </c>
      <c r="DD12" s="101">
        <v>12</v>
      </c>
      <c r="DE12" s="101">
        <v>12</v>
      </c>
      <c r="DF12" s="101">
        <v>12</v>
      </c>
      <c r="DG12" s="101">
        <v>12</v>
      </c>
      <c r="DH12" s="101">
        <v>12</v>
      </c>
      <c r="DI12" s="101">
        <v>12</v>
      </c>
      <c r="DJ12" s="101">
        <v>12</v>
      </c>
      <c r="DK12" s="101">
        <v>12</v>
      </c>
      <c r="DL12" s="101">
        <v>12</v>
      </c>
      <c r="DM12" s="101">
        <v>12</v>
      </c>
      <c r="DN12" s="101">
        <v>12</v>
      </c>
      <c r="DO12" s="101">
        <v>12</v>
      </c>
      <c r="DP12" s="101">
        <v>12</v>
      </c>
      <c r="DQ12" s="101">
        <v>12</v>
      </c>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2" t="s">
        <v>192</v>
      </c>
    </row>
    <row r="13" spans="1:231" x14ac:dyDescent="0.2">
      <c r="C13" s="79"/>
    </row>
    <row r="14" spans="1:231" x14ac:dyDescent="0.2">
      <c r="A14" s="76">
        <v>2</v>
      </c>
      <c r="B14" s="76" t="s">
        <v>404</v>
      </c>
      <c r="C14" s="76"/>
      <c r="D14" s="37"/>
      <c r="E14" s="37"/>
      <c r="F14" s="37"/>
      <c r="G14" s="37"/>
      <c r="H14" s="37"/>
    </row>
    <row r="15" spans="1:231" x14ac:dyDescent="0.2">
      <c r="C15" s="78"/>
    </row>
    <row r="16" spans="1:231" x14ac:dyDescent="0.2">
      <c r="A16" s="233"/>
      <c r="B16" s="231">
        <v>2.1</v>
      </c>
      <c r="C16" s="231" t="s">
        <v>415</v>
      </c>
      <c r="D16" s="231"/>
      <c r="E16" s="231"/>
      <c r="F16" s="231"/>
      <c r="G16" s="231"/>
      <c r="H16" s="231"/>
      <c r="I16" s="106">
        <f>I17</f>
        <v>300.46869768999005</v>
      </c>
      <c r="J16" s="106">
        <f t="shared" ref="J16:BU16" si="10">J17</f>
        <v>300.46869768999005</v>
      </c>
      <c r="K16" s="106">
        <f t="shared" si="10"/>
        <v>300.46869768999005</v>
      </c>
      <c r="L16" s="106">
        <f t="shared" si="10"/>
        <v>300.46869768999005</v>
      </c>
      <c r="M16" s="106">
        <f>M17</f>
        <v>300.46869768999005</v>
      </c>
      <c r="N16" s="106">
        <f t="shared" si="10"/>
        <v>300.46869768999005</v>
      </c>
      <c r="O16" s="106">
        <f t="shared" si="10"/>
        <v>300.46869768999005</v>
      </c>
      <c r="P16" s="106">
        <f t="shared" si="10"/>
        <v>300.46869768999005</v>
      </c>
      <c r="Q16" s="106">
        <f t="shared" si="10"/>
        <v>300.46869768999005</v>
      </c>
      <c r="R16" s="106">
        <f t="shared" si="10"/>
        <v>300.46869768999005</v>
      </c>
      <c r="S16" s="106">
        <f>S17</f>
        <v>300.46869768999005</v>
      </c>
      <c r="T16" s="106">
        <f t="shared" si="10"/>
        <v>343.18184602486792</v>
      </c>
      <c r="U16" s="106">
        <f t="shared" si="10"/>
        <v>343.18184602486792</v>
      </c>
      <c r="V16" s="106">
        <f t="shared" si="10"/>
        <v>343.18184602486792</v>
      </c>
      <c r="W16" s="106">
        <f t="shared" si="10"/>
        <v>343.18184602486792</v>
      </c>
      <c r="X16" s="106">
        <f t="shared" si="10"/>
        <v>343.18184602486792</v>
      </c>
      <c r="Y16" s="106">
        <f t="shared" si="10"/>
        <v>343.18184602486792</v>
      </c>
      <c r="Z16" s="106">
        <f>Z17</f>
        <v>343.18184602486792</v>
      </c>
      <c r="AA16" s="106">
        <f t="shared" si="10"/>
        <v>343.18184602486792</v>
      </c>
      <c r="AB16" s="106">
        <f t="shared" si="10"/>
        <v>343.18184602486792</v>
      </c>
      <c r="AC16" s="106">
        <f t="shared" si="10"/>
        <v>343.18184602486792</v>
      </c>
      <c r="AD16" s="106">
        <f t="shared" si="10"/>
        <v>343.18184602486792</v>
      </c>
      <c r="AE16" s="106">
        <f t="shared" si="10"/>
        <v>343.18184602486792</v>
      </c>
      <c r="AF16" s="106">
        <f t="shared" si="10"/>
        <v>343.18184602486792</v>
      </c>
      <c r="AG16" s="106">
        <f t="shared" si="10"/>
        <v>343.18184602486792</v>
      </c>
      <c r="AH16" s="106">
        <f>AH17</f>
        <v>343.18184602486792</v>
      </c>
      <c r="AI16" s="106">
        <f t="shared" si="10"/>
        <v>343.18184602486792</v>
      </c>
      <c r="AJ16" s="106">
        <f t="shared" si="10"/>
        <v>343.18184602486792</v>
      </c>
      <c r="AK16" s="106">
        <f>AK17</f>
        <v>343.18184602486792</v>
      </c>
      <c r="AL16" s="106">
        <f t="shared" si="10"/>
        <v>300.46869768999005</v>
      </c>
      <c r="AM16" s="106">
        <f t="shared" si="10"/>
        <v>300.46869768999005</v>
      </c>
      <c r="AN16" s="106">
        <f t="shared" si="10"/>
        <v>300.46869768999005</v>
      </c>
      <c r="AO16" s="106">
        <f t="shared" si="10"/>
        <v>300.46869768999005</v>
      </c>
      <c r="AP16" s="106">
        <f t="shared" si="10"/>
        <v>300.46869768999005</v>
      </c>
      <c r="AQ16" s="106">
        <f t="shared" si="10"/>
        <v>300.46869768999005</v>
      </c>
      <c r="AR16" s="106">
        <f t="shared" si="10"/>
        <v>300.46869768999005</v>
      </c>
      <c r="AS16" s="106">
        <f>AS17</f>
        <v>300.46869768999005</v>
      </c>
      <c r="AT16" s="106">
        <f t="shared" si="10"/>
        <v>300.46869768999005</v>
      </c>
      <c r="AU16" s="106">
        <f t="shared" si="10"/>
        <v>343.7719840137359</v>
      </c>
      <c r="AV16" s="106">
        <f t="shared" si="10"/>
        <v>343.18184602486792</v>
      </c>
      <c r="AW16" s="106">
        <f t="shared" si="10"/>
        <v>343.18184602486792</v>
      </c>
      <c r="AX16" s="106">
        <f t="shared" si="10"/>
        <v>343.18184602486792</v>
      </c>
      <c r="AY16" s="106">
        <f t="shared" si="10"/>
        <v>343.18184602486792</v>
      </c>
      <c r="AZ16" s="106">
        <f t="shared" si="10"/>
        <v>343.18184602486792</v>
      </c>
      <c r="BA16" s="106">
        <f t="shared" si="10"/>
        <v>343.18184602486792</v>
      </c>
      <c r="BB16" s="106">
        <f t="shared" si="10"/>
        <v>343.18184602486792</v>
      </c>
      <c r="BC16" s="106">
        <f t="shared" si="10"/>
        <v>343.18184602486792</v>
      </c>
      <c r="BD16" s="106">
        <f t="shared" si="10"/>
        <v>343.18184602486792</v>
      </c>
      <c r="BE16" s="106">
        <f t="shared" si="10"/>
        <v>343.18184602486792</v>
      </c>
      <c r="BF16" s="106">
        <f t="shared" si="10"/>
        <v>343.18184602486792</v>
      </c>
      <c r="BG16" s="106">
        <f t="shared" si="10"/>
        <v>343.18184602486792</v>
      </c>
      <c r="BH16" s="106">
        <f t="shared" si="10"/>
        <v>343.18184602486792</v>
      </c>
      <c r="BI16" s="106">
        <f t="shared" si="10"/>
        <v>343.18184602486792</v>
      </c>
      <c r="BJ16" s="106">
        <f t="shared" si="10"/>
        <v>343.18184602486792</v>
      </c>
      <c r="BK16" s="106">
        <f t="shared" si="10"/>
        <v>343.18184602486792</v>
      </c>
      <c r="BL16" s="106">
        <f t="shared" si="10"/>
        <v>343.18184602486792</v>
      </c>
      <c r="BM16" s="106">
        <f>Base!$H$63</f>
        <v>250.25108804820906</v>
      </c>
      <c r="BN16" s="106">
        <f t="shared" si="10"/>
        <v>250.25108804820906</v>
      </c>
      <c r="BO16" s="106">
        <f t="shared" si="10"/>
        <v>250.25108804820906</v>
      </c>
      <c r="BP16" s="106">
        <f t="shared" si="10"/>
        <v>250.25108804820906</v>
      </c>
      <c r="BQ16" s="106">
        <f t="shared" si="10"/>
        <v>250.25108804820906</v>
      </c>
      <c r="BR16" s="106">
        <f t="shared" si="10"/>
        <v>250.25108804820906</v>
      </c>
      <c r="BS16" s="106">
        <f t="shared" si="10"/>
        <v>250.25108804820906</v>
      </c>
      <c r="BT16" s="106">
        <f t="shared" si="10"/>
        <v>250.25108804820906</v>
      </c>
      <c r="BU16" s="106">
        <f t="shared" si="10"/>
        <v>250.25108804820906</v>
      </c>
      <c r="BV16" s="106">
        <f>BV17</f>
        <v>259.93129450590209</v>
      </c>
      <c r="BW16" s="106">
        <f>BW17</f>
        <v>259.93129450590209</v>
      </c>
      <c r="BX16" s="106">
        <f>BX17</f>
        <v>289.05214383162104</v>
      </c>
      <c r="BY16" s="106">
        <f>BY17</f>
        <v>289.05214383162104</v>
      </c>
      <c r="BZ16" s="106">
        <f>BZ17</f>
        <v>289.05214383162104</v>
      </c>
      <c r="CA16" s="106">
        <f t="shared" ref="CA16:DQ16" si="11">CA17</f>
        <v>289.05214383162104</v>
      </c>
      <c r="CB16" s="106">
        <f t="shared" si="11"/>
        <v>289.05214383162104</v>
      </c>
      <c r="CC16" s="106">
        <f t="shared" si="11"/>
        <v>289.05214383162104</v>
      </c>
      <c r="CD16" s="106">
        <f t="shared" si="11"/>
        <v>289.05214383162104</v>
      </c>
      <c r="CE16" s="106">
        <f t="shared" si="11"/>
        <v>293.70751961459428</v>
      </c>
      <c r="CF16" s="106">
        <f t="shared" si="11"/>
        <v>293.70751961459428</v>
      </c>
      <c r="CG16" s="106">
        <f t="shared" si="11"/>
        <v>289.05214383162104</v>
      </c>
      <c r="CH16" s="106">
        <f t="shared" si="11"/>
        <v>289.05214383162104</v>
      </c>
      <c r="CI16" s="106">
        <f t="shared" si="11"/>
        <v>289.05214383162104</v>
      </c>
      <c r="CJ16" s="106">
        <f t="shared" si="11"/>
        <v>289.05214383162104</v>
      </c>
      <c r="CK16" s="106">
        <f t="shared" si="11"/>
        <v>289.05214383162104</v>
      </c>
      <c r="CL16" s="106">
        <f t="shared" si="11"/>
        <v>289.05214383162104</v>
      </c>
      <c r="CM16" s="106">
        <f t="shared" si="11"/>
        <v>289.05214383162104</v>
      </c>
      <c r="CN16" s="106">
        <f t="shared" si="11"/>
        <v>293.70751961459428</v>
      </c>
      <c r="CO16" s="106">
        <f t="shared" si="11"/>
        <v>293.70751961459428</v>
      </c>
      <c r="CP16" s="106">
        <f t="shared" si="11"/>
        <v>250.25108804820906</v>
      </c>
      <c r="CQ16" s="106">
        <f t="shared" si="11"/>
        <v>250.25108804820906</v>
      </c>
      <c r="CR16" s="106">
        <f t="shared" si="11"/>
        <v>250.25108804820906</v>
      </c>
      <c r="CS16" s="106">
        <f t="shared" si="11"/>
        <v>250.25108804820906</v>
      </c>
      <c r="CT16" s="106">
        <f t="shared" si="11"/>
        <v>250.25108804820906</v>
      </c>
      <c r="CU16" s="106">
        <f t="shared" si="11"/>
        <v>250.25108804820906</v>
      </c>
      <c r="CV16" s="106">
        <f t="shared" si="11"/>
        <v>250.25108804820906</v>
      </c>
      <c r="CW16" s="106">
        <f t="shared" si="11"/>
        <v>259.93129450590209</v>
      </c>
      <c r="CX16" s="106">
        <f t="shared" si="11"/>
        <v>259.93129450590209</v>
      </c>
      <c r="CY16" s="106">
        <f t="shared" si="11"/>
        <v>289.05214383162104</v>
      </c>
      <c r="CZ16" s="106">
        <f t="shared" si="11"/>
        <v>289.05214383162104</v>
      </c>
      <c r="DA16" s="106">
        <f t="shared" si="11"/>
        <v>289.05214383162104</v>
      </c>
      <c r="DB16" s="106">
        <f t="shared" si="11"/>
        <v>289.05214383162104</v>
      </c>
      <c r="DC16" s="106">
        <f t="shared" si="11"/>
        <v>289.05214383162104</v>
      </c>
      <c r="DD16" s="106">
        <f t="shared" si="11"/>
        <v>289.05214383162104</v>
      </c>
      <c r="DE16" s="106">
        <f t="shared" si="11"/>
        <v>289.05214383162104</v>
      </c>
      <c r="DF16" s="106">
        <f t="shared" si="11"/>
        <v>293.70751961459428</v>
      </c>
      <c r="DG16" s="106">
        <f t="shared" si="11"/>
        <v>293.70751961459428</v>
      </c>
      <c r="DH16" s="106">
        <f t="shared" si="11"/>
        <v>289.05214383162104</v>
      </c>
      <c r="DI16" s="106">
        <f t="shared" si="11"/>
        <v>289.05214383162104</v>
      </c>
      <c r="DJ16" s="106">
        <f t="shared" si="11"/>
        <v>289.05214383162104</v>
      </c>
      <c r="DK16" s="106">
        <f t="shared" si="11"/>
        <v>289.05214383162104</v>
      </c>
      <c r="DL16" s="106">
        <f t="shared" si="11"/>
        <v>289.05214383162104</v>
      </c>
      <c r="DM16" s="106">
        <f t="shared" si="11"/>
        <v>289.05214383162104</v>
      </c>
      <c r="DN16" s="106">
        <f t="shared" si="11"/>
        <v>289.05214383162104</v>
      </c>
      <c r="DO16" s="106">
        <f t="shared" si="11"/>
        <v>293.70751961459428</v>
      </c>
      <c r="DP16" s="106">
        <f t="shared" si="11"/>
        <v>293.70751961459428</v>
      </c>
      <c r="DQ16" s="106">
        <f t="shared" si="11"/>
        <v>348.4336060427118</v>
      </c>
      <c r="DR16" s="106"/>
      <c r="DS16" s="106"/>
      <c r="DT16" s="106"/>
      <c r="DU16" s="106"/>
      <c r="DV16" s="106"/>
      <c r="DW16" s="106"/>
      <c r="DX16" s="106"/>
      <c r="DY16" s="106"/>
      <c r="DZ16" s="106"/>
      <c r="EA16" s="106"/>
      <c r="EB16" s="106"/>
      <c r="EC16" s="106"/>
      <c r="ED16" s="106"/>
      <c r="EE16" s="106"/>
      <c r="EF16" s="106"/>
      <c r="EG16" s="106"/>
      <c r="EH16" s="106"/>
      <c r="EI16" s="106"/>
      <c r="EJ16" s="106"/>
      <c r="EK16" s="106"/>
      <c r="EL16" s="106"/>
      <c r="EM16" s="106"/>
      <c r="EN16" s="106"/>
      <c r="EO16" s="106"/>
      <c r="EP16" s="106"/>
      <c r="EQ16" s="106"/>
      <c r="ER16" s="106"/>
      <c r="ES16" s="106"/>
      <c r="ET16" s="106"/>
      <c r="EU16" s="106"/>
      <c r="EV16" s="106"/>
      <c r="EW16" s="106"/>
      <c r="EX16" s="106"/>
      <c r="EY16" s="106"/>
      <c r="EZ16" s="106"/>
      <c r="FA16" s="106"/>
      <c r="FB16" s="106"/>
      <c r="FC16" s="106"/>
      <c r="FD16" s="106"/>
      <c r="FE16" s="106"/>
      <c r="FF16" s="106"/>
      <c r="FG16" s="106"/>
      <c r="FH16" s="106"/>
      <c r="FI16" s="106"/>
      <c r="FJ16" s="106"/>
      <c r="FK16" s="106"/>
      <c r="FL16" s="106"/>
      <c r="FM16" s="106"/>
      <c r="FN16" s="106"/>
      <c r="FO16" s="106"/>
      <c r="FP16" s="106"/>
      <c r="FQ16" s="106"/>
      <c r="FR16" s="106"/>
      <c r="FS16" s="106"/>
      <c r="FT16" s="106"/>
      <c r="FU16" s="106"/>
      <c r="FV16" s="106"/>
      <c r="FW16" s="106"/>
      <c r="FX16" s="106"/>
      <c r="FY16" s="106"/>
      <c r="FZ16" s="106"/>
      <c r="GA16" s="106"/>
      <c r="GB16" s="106"/>
      <c r="GC16" s="106"/>
      <c r="GD16" s="106"/>
      <c r="GE16" s="106"/>
      <c r="GF16" s="106"/>
      <c r="GG16" s="106"/>
      <c r="GH16" s="106"/>
      <c r="GI16" s="106"/>
      <c r="GJ16" s="106"/>
      <c r="GK16" s="106"/>
      <c r="GL16" s="106"/>
      <c r="GM16" s="106"/>
      <c r="GN16" s="106"/>
      <c r="GO16" s="106"/>
      <c r="GP16" s="106"/>
      <c r="GQ16" s="106"/>
      <c r="GR16" s="106"/>
      <c r="GS16" s="106"/>
      <c r="GT16" s="106"/>
      <c r="GU16" s="106"/>
      <c r="GV16" s="106"/>
      <c r="GW16" s="106"/>
      <c r="GX16" s="106"/>
      <c r="GY16" s="106"/>
      <c r="GZ16" s="106"/>
      <c r="HA16" s="106"/>
      <c r="HB16" s="106"/>
      <c r="HC16" s="106"/>
      <c r="HD16" s="106"/>
      <c r="HE16" s="106"/>
      <c r="HF16" s="106"/>
      <c r="HG16" s="106"/>
      <c r="HH16" s="106"/>
      <c r="HI16" s="106"/>
      <c r="HJ16" s="106"/>
      <c r="HK16" s="106"/>
      <c r="HL16" s="106"/>
      <c r="HM16" s="102" t="s">
        <v>416</v>
      </c>
    </row>
    <row r="17" spans="1:221" x14ac:dyDescent="0.2">
      <c r="C17" s="79" t="s">
        <v>419</v>
      </c>
      <c r="G17" s="61" t="s">
        <v>198</v>
      </c>
      <c r="H17" t="s">
        <v>199</v>
      </c>
      <c r="I17" s="193">
        <f>VLOOKUP(I2,Base!$B$7:$K$119,7,FALSE)</f>
        <v>300.46869768999005</v>
      </c>
      <c r="J17" s="193">
        <f>VLOOKUP(J2,Base!$B$7:$K$119,7,FALSE)</f>
        <v>300.46869768999005</v>
      </c>
      <c r="K17" s="193">
        <f>VLOOKUP(K2,Base!$B$7:$K$119,7,FALSE)</f>
        <v>300.46869768999005</v>
      </c>
      <c r="L17" s="193">
        <f>VLOOKUP(L2,Base!$B$7:$K$119,7,FALSE)</f>
        <v>300.46869768999005</v>
      </c>
      <c r="M17" s="193">
        <f>VLOOKUP(M2,Base!$B$7:$K$119,7,FALSE)</f>
        <v>300.46869768999005</v>
      </c>
      <c r="N17" s="193">
        <f>VLOOKUP(N2,Base!$B$7:$K$119,7,FALSE)</f>
        <v>300.46869768999005</v>
      </c>
      <c r="O17" s="193">
        <f>VLOOKUP(O2,Base!$B$7:$K$119,7,FALSE)</f>
        <v>300.46869768999005</v>
      </c>
      <c r="P17" s="193">
        <f>VLOOKUP(P2,Base!$B$7:$K$119,7,FALSE)</f>
        <v>300.46869768999005</v>
      </c>
      <c r="Q17" s="193">
        <f>VLOOKUP(Q2,Base!$B$7:$K$119,7,FALSE)</f>
        <v>300.46869768999005</v>
      </c>
      <c r="R17" s="193">
        <f>VLOOKUP(R2,Base!$B$7:$K$119,7,FALSE)</f>
        <v>300.46869768999005</v>
      </c>
      <c r="S17" s="193">
        <f>VLOOKUP(S2,Base!$B$7:$K$119,7,FALSE)</f>
        <v>300.46869768999005</v>
      </c>
      <c r="T17" s="193">
        <f>VLOOKUP(T2,Base!$B$7:$K$119,7,FALSE)</f>
        <v>343.18184602486792</v>
      </c>
      <c r="U17" s="193">
        <f>VLOOKUP(U2,Base!$B$7:$K$119,7,FALSE)</f>
        <v>343.18184602486792</v>
      </c>
      <c r="V17" s="193">
        <f>VLOOKUP(V2,Base!$B$7:$K$119,7,FALSE)</f>
        <v>343.18184602486792</v>
      </c>
      <c r="W17" s="193">
        <f>VLOOKUP(W2,Base!$B$7:$K$119,7,FALSE)</f>
        <v>343.18184602486792</v>
      </c>
      <c r="X17" s="193">
        <f>VLOOKUP(X2,Base!$B$7:$K$119,7,FALSE)</f>
        <v>343.18184602486792</v>
      </c>
      <c r="Y17" s="193">
        <f>VLOOKUP(Y2,Base!$B$7:$K$119,7,FALSE)</f>
        <v>343.18184602486792</v>
      </c>
      <c r="Z17" s="193">
        <f>VLOOKUP(Z2,Base!$B$7:$K$119,7,FALSE)</f>
        <v>343.18184602486792</v>
      </c>
      <c r="AA17" s="193">
        <f>VLOOKUP(AA2,Base!$B$7:$K$119,7,FALSE)</f>
        <v>343.18184602486792</v>
      </c>
      <c r="AB17" s="193">
        <f>VLOOKUP(AB2,Base!$B$7:$K$119,7,FALSE)</f>
        <v>343.18184602486792</v>
      </c>
      <c r="AC17" s="193">
        <f>VLOOKUP(AC2,Base!$B$7:$K$119,7,FALSE)</f>
        <v>343.18184602486792</v>
      </c>
      <c r="AD17" s="193">
        <f>VLOOKUP(AD2,Base!$B$7:$K$119,7,FALSE)</f>
        <v>343.18184602486792</v>
      </c>
      <c r="AE17" s="193">
        <f>VLOOKUP(AE2,Base!$B$7:$K$119,7,FALSE)</f>
        <v>343.18184602486792</v>
      </c>
      <c r="AF17" s="193">
        <f>VLOOKUP(AF2,Base!$B$7:$K$119,7,FALSE)</f>
        <v>343.18184602486792</v>
      </c>
      <c r="AG17" s="193">
        <f>VLOOKUP(AG2,Base!$B$7:$K$119,7,FALSE)</f>
        <v>343.18184602486792</v>
      </c>
      <c r="AH17" s="193">
        <f>VLOOKUP(AH2,Base!$B$7:$K$119,7,FALSE)</f>
        <v>343.18184602486792</v>
      </c>
      <c r="AI17" s="193">
        <f>VLOOKUP(AI2,Base!$B$7:$K$119,7,FALSE)</f>
        <v>343.18184602486792</v>
      </c>
      <c r="AJ17" s="193">
        <f>VLOOKUP(AJ2,Base!$B$7:$K$119,7,FALSE)</f>
        <v>343.18184602486792</v>
      </c>
      <c r="AK17" s="193">
        <f>VLOOKUP(AK2,Base!$B$7:$K$119,7,FALSE)</f>
        <v>343.18184602486792</v>
      </c>
      <c r="AL17" s="193">
        <f>VLOOKUP(AL2,Base!$B$7:$K$119,7,FALSE)</f>
        <v>300.46869768999005</v>
      </c>
      <c r="AM17" s="193">
        <f>VLOOKUP(AM2,Base!$B$7:$K$119,7,FALSE)</f>
        <v>300.46869768999005</v>
      </c>
      <c r="AN17" s="193">
        <f>VLOOKUP(AN2,Base!$B$7:$K$119,7,FALSE)</f>
        <v>300.46869768999005</v>
      </c>
      <c r="AO17" s="193">
        <f>VLOOKUP(AO2,Base!$B$7:$K$119,7,FALSE)</f>
        <v>300.46869768999005</v>
      </c>
      <c r="AP17" s="193">
        <f>VLOOKUP(AP2,Base!$B$7:$K$119,7,FALSE)</f>
        <v>300.46869768999005</v>
      </c>
      <c r="AQ17" s="193">
        <f>VLOOKUP(AQ2,Base!$B$7:$K$119,7,FALSE)</f>
        <v>300.46869768999005</v>
      </c>
      <c r="AR17" s="193">
        <f>VLOOKUP(AR2,Base!$B$7:$K$119,7,FALSE)</f>
        <v>300.46869768999005</v>
      </c>
      <c r="AS17" s="193">
        <f>VLOOKUP(AS2,Base!$B$7:$K$119,7,FALSE)</f>
        <v>300.46869768999005</v>
      </c>
      <c r="AT17" s="193">
        <f>VLOOKUP(AT2,Base!$B$7:$K$119,7,FALSE)</f>
        <v>300.46869768999005</v>
      </c>
      <c r="AU17" s="193">
        <f>VLOOKUP(AU2,Base!$B$7:$K$119,7,FALSE)</f>
        <v>343.7719840137359</v>
      </c>
      <c r="AV17" s="193">
        <f>VLOOKUP(AV2,Base!$B$7:$K$119,7,FALSE)</f>
        <v>343.18184602486792</v>
      </c>
      <c r="AW17" s="193">
        <f>VLOOKUP(AW2,Base!$B$7:$K$119,7,FALSE)</f>
        <v>343.18184602486792</v>
      </c>
      <c r="AX17" s="193">
        <f>VLOOKUP(AX2,Base!$B$7:$K$119,7,FALSE)</f>
        <v>343.18184602486792</v>
      </c>
      <c r="AY17" s="193">
        <f>VLOOKUP(AY2,Base!$B$7:$K$119,7,FALSE)</f>
        <v>343.18184602486792</v>
      </c>
      <c r="AZ17" s="193">
        <f>VLOOKUP(AZ2,Base!$B$7:$K$119,7,FALSE)</f>
        <v>343.18184602486792</v>
      </c>
      <c r="BA17" s="193">
        <f>VLOOKUP(BA2,Base!$B$7:$K$119,7,FALSE)</f>
        <v>343.18184602486792</v>
      </c>
      <c r="BB17" s="193">
        <f>VLOOKUP(BB2,Base!$B$7:$K$119,7,FALSE)</f>
        <v>343.18184602486792</v>
      </c>
      <c r="BC17" s="193">
        <f>VLOOKUP(BC2,Base!$B$7:$K$119,7,FALSE)</f>
        <v>343.18184602486792</v>
      </c>
      <c r="BD17" s="193">
        <f>VLOOKUP(BD2,Base!$B$7:$K$119,7,FALSE)</f>
        <v>343.18184602486792</v>
      </c>
      <c r="BE17" s="193">
        <f>VLOOKUP(BE2,Base!$B$7:$K$119,7,FALSE)</f>
        <v>343.18184602486792</v>
      </c>
      <c r="BF17" s="193">
        <f>VLOOKUP(BF2,Base!$B$7:$K$119,7,FALSE)</f>
        <v>343.18184602486792</v>
      </c>
      <c r="BG17" s="193">
        <f>VLOOKUP(BG2,Base!$B$7:$K$119,7,FALSE)</f>
        <v>343.18184602486792</v>
      </c>
      <c r="BH17" s="193">
        <f>VLOOKUP(BH2,Base!$B$7:$K$119,7,FALSE)</f>
        <v>343.18184602486792</v>
      </c>
      <c r="BI17" s="193">
        <f>VLOOKUP(BI2,Base!$B$7:$K$119,7,FALSE)</f>
        <v>343.18184602486792</v>
      </c>
      <c r="BJ17" s="193">
        <f>VLOOKUP(BJ2,Base!$B$7:$K$119,7,FALSE)</f>
        <v>343.18184602486792</v>
      </c>
      <c r="BK17" s="193">
        <f>VLOOKUP(BK2,Base!$B$7:$K$119,7,FALSE)</f>
        <v>343.18184602486792</v>
      </c>
      <c r="BL17" s="193">
        <f>VLOOKUP(BL2,Base!$B$7:$K$119,7,FALSE)</f>
        <v>343.18184602486792</v>
      </c>
      <c r="BM17" s="193">
        <f>VLOOKUP(BM2,Base!$B$7:$K$119,7,FALSE)</f>
        <v>250.25108804820906</v>
      </c>
      <c r="BN17" s="193">
        <f>VLOOKUP(BN2,Base!$B$7:$K$119,7,FALSE)</f>
        <v>250.25108804820906</v>
      </c>
      <c r="BO17" s="193">
        <f>VLOOKUP(BO2,Base!$B$7:$K$119,7,FALSE)</f>
        <v>250.25108804820906</v>
      </c>
      <c r="BP17" s="193">
        <f>VLOOKUP(BP2,Base!$B$7:$K$119,7,FALSE)</f>
        <v>250.25108804820906</v>
      </c>
      <c r="BQ17" s="193">
        <f>VLOOKUP(BQ2,Base!$B$7:$K$119,7,FALSE)</f>
        <v>250.25108804820906</v>
      </c>
      <c r="BR17" s="193">
        <f>VLOOKUP(BR2,Base!$B$7:$K$119,7,FALSE)</f>
        <v>250.25108804820906</v>
      </c>
      <c r="BS17" s="193">
        <f>VLOOKUP(BS2,Base!$B$7:$K$119,7,FALSE)</f>
        <v>250.25108804820906</v>
      </c>
      <c r="BT17" s="193">
        <f>VLOOKUP(BT2,Base!$B$7:$K$119,7,FALSE)</f>
        <v>250.25108804820906</v>
      </c>
      <c r="BU17" s="193">
        <f>VLOOKUP(BU2,Base!$B$7:$K$119,7,FALSE)</f>
        <v>250.25108804820906</v>
      </c>
      <c r="BV17" s="193">
        <f>VLOOKUP(BV2,Base!$B$7:$K$119,7,FALSE)</f>
        <v>259.93129450590209</v>
      </c>
      <c r="BW17" s="193">
        <f>VLOOKUP(BW2,Base!$B$7:$K$119,7,FALSE)</f>
        <v>259.93129450590209</v>
      </c>
      <c r="BX17" s="193">
        <f>VLOOKUP(BX2,Base!$B$7:$K$119,7,FALSE)</f>
        <v>289.05214383162104</v>
      </c>
      <c r="BY17" s="193">
        <f>VLOOKUP(BY2,Base!$B$7:$K$119,7,FALSE)</f>
        <v>289.05214383162104</v>
      </c>
      <c r="BZ17" s="193">
        <f>VLOOKUP(BZ2,Base!$B$7:$K$119,7,FALSE)</f>
        <v>289.05214383162104</v>
      </c>
      <c r="CA17" s="193">
        <f>VLOOKUP(CA2,Base!$B$7:$K$119,7,FALSE)</f>
        <v>289.05214383162104</v>
      </c>
      <c r="CB17" s="193">
        <f>VLOOKUP(CB2,Base!$B$7:$K$119,7,FALSE)</f>
        <v>289.05214383162104</v>
      </c>
      <c r="CC17" s="193">
        <f>VLOOKUP(CC2,Base!$B$7:$K$119,7,FALSE)</f>
        <v>289.05214383162104</v>
      </c>
      <c r="CD17" s="193">
        <f>VLOOKUP(CD2,Base!$B$7:$K$119,7,FALSE)</f>
        <v>289.05214383162104</v>
      </c>
      <c r="CE17" s="193">
        <f>VLOOKUP(CE2,Base!$B$7:$K$119,7,FALSE)</f>
        <v>293.70751961459428</v>
      </c>
      <c r="CF17" s="193">
        <f>VLOOKUP(CF2,Base!$B$7:$K$119,7,FALSE)</f>
        <v>293.70751961459428</v>
      </c>
      <c r="CG17" s="193">
        <f>VLOOKUP(CG2,Base!$B$7:$K$119,7,FALSE)</f>
        <v>289.05214383162104</v>
      </c>
      <c r="CH17" s="193">
        <f>VLOOKUP(CH2,Base!$B$7:$K$119,7,FALSE)</f>
        <v>289.05214383162104</v>
      </c>
      <c r="CI17" s="193">
        <f>VLOOKUP(CI2,Base!$B$7:$K$119,7,FALSE)</f>
        <v>289.05214383162104</v>
      </c>
      <c r="CJ17" s="193">
        <f>VLOOKUP(CJ2,Base!$B$7:$K$119,7,FALSE)</f>
        <v>289.05214383162104</v>
      </c>
      <c r="CK17" s="193">
        <f>VLOOKUP(CK2,Base!$B$7:$K$119,7,FALSE)</f>
        <v>289.05214383162104</v>
      </c>
      <c r="CL17" s="193">
        <f>VLOOKUP(CL2,Base!$B$7:$K$119,7,FALSE)</f>
        <v>289.05214383162104</v>
      </c>
      <c r="CM17" s="193">
        <f>VLOOKUP(CM2,Base!$B$7:$K$119,7,FALSE)</f>
        <v>289.05214383162104</v>
      </c>
      <c r="CN17" s="193">
        <f>VLOOKUP(CN2,Base!$B$7:$K$119,7,FALSE)</f>
        <v>293.70751961459428</v>
      </c>
      <c r="CO17" s="193">
        <f>VLOOKUP(CO2,Base!$B$7:$K$119,7,FALSE)</f>
        <v>293.70751961459428</v>
      </c>
      <c r="CP17" s="193">
        <f>VLOOKUP(CP2,Base!$B$7:$K$119,7,FALSE)</f>
        <v>250.25108804820906</v>
      </c>
      <c r="CQ17" s="193">
        <f>VLOOKUP(CQ2,Base!$B$7:$K$119,7,FALSE)</f>
        <v>250.25108804820906</v>
      </c>
      <c r="CR17" s="193">
        <f>VLOOKUP(CR2,Base!$B$7:$K$119,7,FALSE)</f>
        <v>250.25108804820906</v>
      </c>
      <c r="CS17" s="193">
        <f>VLOOKUP(CS2,Base!$B$7:$K$119,7,FALSE)</f>
        <v>250.25108804820906</v>
      </c>
      <c r="CT17" s="193">
        <f>VLOOKUP(CT2,Base!$B$7:$K$119,7,FALSE)</f>
        <v>250.25108804820906</v>
      </c>
      <c r="CU17" s="193">
        <f>VLOOKUP(CU2,Base!$B$7:$K$119,7,FALSE)</f>
        <v>250.25108804820906</v>
      </c>
      <c r="CV17" s="193">
        <f>VLOOKUP(CV2,Base!$B$7:$K$119,7,FALSE)</f>
        <v>250.25108804820906</v>
      </c>
      <c r="CW17" s="193">
        <f>VLOOKUP(CW2,Base!$B$7:$K$119,7,FALSE)</f>
        <v>259.93129450590209</v>
      </c>
      <c r="CX17" s="193">
        <f>VLOOKUP(CX2,Base!$B$7:$K$119,7,FALSE)</f>
        <v>259.93129450590209</v>
      </c>
      <c r="CY17" s="193">
        <f>VLOOKUP(CY2,Base!$B$7:$K$119,7,FALSE)</f>
        <v>289.05214383162104</v>
      </c>
      <c r="CZ17" s="193">
        <f>VLOOKUP(CZ2,Base!$B$7:$K$119,7,FALSE)</f>
        <v>289.05214383162104</v>
      </c>
      <c r="DA17" s="193">
        <f>VLOOKUP(DA2,Base!$B$7:$K$119,7,FALSE)</f>
        <v>289.05214383162104</v>
      </c>
      <c r="DB17" s="193">
        <f>VLOOKUP(DB2,Base!$B$7:$K$119,7,FALSE)</f>
        <v>289.05214383162104</v>
      </c>
      <c r="DC17" s="193">
        <f>VLOOKUP(DC2,Base!$B$7:$K$119,7,FALSE)</f>
        <v>289.05214383162104</v>
      </c>
      <c r="DD17" s="193">
        <f>VLOOKUP(DD2,Base!$B$7:$K$119,7,FALSE)</f>
        <v>289.05214383162104</v>
      </c>
      <c r="DE17" s="193">
        <f>VLOOKUP(DE2,Base!$B$7:$K$119,7,FALSE)</f>
        <v>289.05214383162104</v>
      </c>
      <c r="DF17" s="193">
        <f>VLOOKUP(DF2,Base!$B$7:$K$119,7,FALSE)</f>
        <v>293.70751961459428</v>
      </c>
      <c r="DG17" s="193">
        <f>VLOOKUP(DG2,Base!$B$7:$K$119,7,FALSE)</f>
        <v>293.70751961459428</v>
      </c>
      <c r="DH17" s="193">
        <f>VLOOKUP(DH2,Base!$B$7:$K$119,7,FALSE)</f>
        <v>289.05214383162104</v>
      </c>
      <c r="DI17" s="193">
        <f>VLOOKUP(DI2,Base!$B$7:$K$119,7,FALSE)</f>
        <v>289.05214383162104</v>
      </c>
      <c r="DJ17" s="193">
        <f>VLOOKUP(DJ2,Base!$B$7:$K$119,7,FALSE)</f>
        <v>289.05214383162104</v>
      </c>
      <c r="DK17" s="193">
        <f>VLOOKUP(DK2,Base!$B$7:$K$119,7,FALSE)</f>
        <v>289.05214383162104</v>
      </c>
      <c r="DL17" s="193">
        <f>VLOOKUP(DL2,Base!$B$7:$K$119,7,FALSE)</f>
        <v>289.05214383162104</v>
      </c>
      <c r="DM17" s="193">
        <f>VLOOKUP(DM2,Base!$B$7:$K$119,7,FALSE)</f>
        <v>289.05214383162104</v>
      </c>
      <c r="DN17" s="193">
        <f>VLOOKUP(DN2,Base!$B$7:$K$119,7,FALSE)</f>
        <v>289.05214383162104</v>
      </c>
      <c r="DO17" s="193">
        <f>VLOOKUP(DO2,Base!$B$7:$K$119,7,FALSE)</f>
        <v>293.70751961459428</v>
      </c>
      <c r="DP17" s="193">
        <f>VLOOKUP(DP2,Base!$B$7:$K$119,7,FALSE)</f>
        <v>293.70751961459428</v>
      </c>
      <c r="DQ17" s="193">
        <f>VLOOKUP(DQ2,Base!$B$7:$K$119,7,FALSE)</f>
        <v>348.4336060427118</v>
      </c>
      <c r="DR17" s="105" t="e">
        <f>IF(DR4&lt;&gt;"Internet fijo", IF(DR6="Residencial",$I$17,$J$17),0)*#REF!</f>
        <v>#REF!</v>
      </c>
      <c r="DS17" s="105" t="e">
        <f>IF(DS4&lt;&gt;"Internet fijo", IF(DS6="Residencial",$I$17,$J$17),0)*#REF!</f>
        <v>#REF!</v>
      </c>
      <c r="DT17" s="105" t="e">
        <f>IF(DT4&lt;&gt;"Internet fijo", IF(DT6="Residencial",$I$17,$J$17),0)*#REF!</f>
        <v>#REF!</v>
      </c>
      <c r="DU17" s="105" t="e">
        <f>IF(DU4&lt;&gt;"Internet fijo", IF(DU6="Residencial",$I$17,$J$17),0)*#REF!</f>
        <v>#REF!</v>
      </c>
      <c r="DV17" s="105" t="e">
        <f>IF(DV4&lt;&gt;"Internet fijo", IF(DV6="Residencial",$I$17,$J$17),0)*#REF!</f>
        <v>#REF!</v>
      </c>
      <c r="DW17" s="105" t="e">
        <f>IF(DW4&lt;&gt;"Internet fijo", IF(DW6="Residencial",$I$17,$J$17),0)*#REF!</f>
        <v>#REF!</v>
      </c>
      <c r="DX17" s="105" t="e">
        <f>IF(DX4&lt;&gt;"Internet fijo", IF(DX6="Residencial",$I$17,$J$17),0)*#REF!</f>
        <v>#REF!</v>
      </c>
      <c r="DY17" s="105" t="e">
        <f>IF(DY4&lt;&gt;"Internet fijo", IF(DY6="Residencial",$I$17,$J$17),0)*#REF!</f>
        <v>#REF!</v>
      </c>
      <c r="DZ17" s="105" t="e">
        <f>IF(DZ4&lt;&gt;"Internet fijo", IF(DZ6="Residencial",$I$17,$J$17),0)*#REF!</f>
        <v>#REF!</v>
      </c>
      <c r="EA17" s="105" t="e">
        <f>IF(EA4&lt;&gt;"Internet fijo", IF(EA6="Residencial",$I$17,$J$17),0)*#REF!</f>
        <v>#REF!</v>
      </c>
      <c r="EB17" s="105" t="e">
        <f>IF(EB4&lt;&gt;"Internet fijo", IF(EB6="Residencial",$I$17,$J$17),0)*#REF!</f>
        <v>#REF!</v>
      </c>
      <c r="EC17" s="105" t="e">
        <f>IF(EC4&lt;&gt;"Internet fijo", IF(EC6="Residencial",$I$17,$J$17),0)*#REF!</f>
        <v>#REF!</v>
      </c>
      <c r="ED17" s="105" t="e">
        <f>IF(ED4&lt;&gt;"Internet fijo", IF(ED6="Residencial",$I$17,$J$17),0)*#REF!</f>
        <v>#REF!</v>
      </c>
      <c r="EE17" s="105" t="e">
        <f>IF(EE4&lt;&gt;"Internet fijo", IF(EE6="Residencial",$I$17,$J$17),0)*#REF!</f>
        <v>#REF!</v>
      </c>
      <c r="EF17" s="105" t="e">
        <f>IF(EF4&lt;&gt;"Internet fijo", IF(EF6="Residencial",$I$17,$J$17),0)*#REF!</f>
        <v>#REF!</v>
      </c>
      <c r="EG17" s="105" t="e">
        <f>IF(EG4&lt;&gt;"Internet fijo", IF(EG6="Residencial",$I$17,$J$17),0)*#REF!</f>
        <v>#REF!</v>
      </c>
      <c r="EH17" s="105" t="e">
        <f>IF(EH4&lt;&gt;"Internet fijo", IF(EH6="Residencial",$I$17,$J$17),0)*#REF!</f>
        <v>#REF!</v>
      </c>
      <c r="EI17" s="105" t="e">
        <f>IF(EI4&lt;&gt;"Internet fijo", IF(EI6="Residencial",$I$17,$J$17),0)*#REF!</f>
        <v>#REF!</v>
      </c>
      <c r="EJ17" s="105" t="e">
        <f>IF(EJ4&lt;&gt;"Internet fijo", IF(EJ6="Residencial",$I$17,$J$17),0)*#REF!</f>
        <v>#REF!</v>
      </c>
      <c r="EK17" s="105" t="e">
        <f>IF(EK4&lt;&gt;"Internet fijo", IF(EK6="Residencial",$I$17,$J$17),0)*#REF!</f>
        <v>#REF!</v>
      </c>
      <c r="EL17" s="105" t="e">
        <f>IF(EL4&lt;&gt;"Internet fijo", IF(EL6="Residencial",$I$17,$J$17),0)*#REF!</f>
        <v>#REF!</v>
      </c>
      <c r="EM17" s="105" t="e">
        <f>IF(EM4&lt;&gt;"Internet fijo", IF(EM6="Residencial",$I$17,$J$17),0)*#REF!</f>
        <v>#REF!</v>
      </c>
      <c r="EN17" s="105" t="e">
        <f>IF(EN4&lt;&gt;"Internet fijo", IF(EN6="Residencial",$I$17,$J$17),0)*#REF!</f>
        <v>#REF!</v>
      </c>
      <c r="EO17" s="105" t="e">
        <f>IF(EO4&lt;&gt;"Internet fijo", IF(EO6="Residencial",$I$17,$J$17),0)*#REF!</f>
        <v>#REF!</v>
      </c>
      <c r="EP17" s="105" t="e">
        <f>IF(EP4&lt;&gt;"Internet fijo", IF(EP6="Residencial",$I$17,$J$17),0)*#REF!</f>
        <v>#REF!</v>
      </c>
      <c r="EQ17" s="105" t="e">
        <f>IF(EQ4&lt;&gt;"Internet fijo", IF(EQ6="Residencial",$I$17,$J$17),0)*#REF!</f>
        <v>#REF!</v>
      </c>
      <c r="ER17" s="105" t="e">
        <f>IF(ER4&lt;&gt;"Internet fijo", IF(ER6="Residencial",$I$17,$J$17),0)*#REF!</f>
        <v>#REF!</v>
      </c>
      <c r="ES17" s="105" t="e">
        <f>IF(ES4&lt;&gt;"Internet fijo", IF(ES6="Residencial",$I$17,$J$17),0)*#REF!</f>
        <v>#REF!</v>
      </c>
      <c r="ET17" s="105" t="e">
        <f>IF(ET4&lt;&gt;"Internet fijo", IF(ET6="Residencial",$I$17,$J$17),0)*#REF!</f>
        <v>#REF!</v>
      </c>
      <c r="EU17" s="105" t="e">
        <f>IF(EU4&lt;&gt;"Internet fijo", IF(EU6="Residencial",$I$17,$J$17),0)*#REF!</f>
        <v>#REF!</v>
      </c>
      <c r="EV17" s="105" t="e">
        <f>IF(EV4&lt;&gt;"Internet fijo", IF(EV6="Residencial",$I$17,$J$17),0)*#REF!</f>
        <v>#REF!</v>
      </c>
      <c r="EW17" s="105" t="e">
        <f>IF(EW4&lt;&gt;"Internet fijo", IF(EW6="Residencial",$I$17,$J$17),0)*#REF!</f>
        <v>#REF!</v>
      </c>
      <c r="EX17" s="105" t="e">
        <f>IF(EX4&lt;&gt;"Internet fijo", IF(EX6="Residencial",$I$17,$J$17),0)*#REF!</f>
        <v>#REF!</v>
      </c>
      <c r="EY17" s="105" t="e">
        <f>IF(EY4&lt;&gt;"Internet fijo", IF(EY6="Residencial",$I$17,$J$17),0)*#REF!</f>
        <v>#REF!</v>
      </c>
      <c r="EZ17" s="105" t="e">
        <f>IF(EZ4&lt;&gt;"Internet fijo", IF(EZ6="Residencial",$I$17,$J$17),0)*#REF!</f>
        <v>#REF!</v>
      </c>
      <c r="FA17" s="105" t="e">
        <f>IF(FA4&lt;&gt;"Internet fijo", IF(FA6="Residencial",$I$17,$J$17),0)*#REF!</f>
        <v>#REF!</v>
      </c>
      <c r="FB17" s="105" t="e">
        <f>IF(FB4&lt;&gt;"Internet fijo", IF(FB6="Residencial",$I$17,$J$17),0)*#REF!</f>
        <v>#REF!</v>
      </c>
      <c r="FC17" s="105" t="e">
        <f>IF(FC4&lt;&gt;"Internet fijo", IF(FC6="Residencial",$I$17,$J$17),0)*#REF!</f>
        <v>#REF!</v>
      </c>
      <c r="FD17" s="105" t="e">
        <f>IF(FD4&lt;&gt;"Internet fijo", IF(FD6="Residencial",$I$17,$J$17),0)*#REF!</f>
        <v>#REF!</v>
      </c>
      <c r="FE17" s="105" t="e">
        <f>IF(FE4&lt;&gt;"Internet fijo", IF(FE6="Residencial",$I$17,$J$17),0)*#REF!</f>
        <v>#REF!</v>
      </c>
      <c r="FF17" s="105" t="e">
        <f>IF(FF4&lt;&gt;"Internet fijo", IF(FF6="Residencial",$I$17,$J$17),0)*#REF!</f>
        <v>#REF!</v>
      </c>
      <c r="FG17" s="105" t="e">
        <f>IF(FG4&lt;&gt;"Internet fijo", IF(FG6="Residencial",$I$17,$J$17),0)*#REF!</f>
        <v>#REF!</v>
      </c>
      <c r="FH17" s="105" t="e">
        <f>IF(FH4&lt;&gt;"Internet fijo", IF(FH6="Residencial",$I$17,$J$17),0)*#REF!</f>
        <v>#REF!</v>
      </c>
      <c r="FI17" s="105" t="e">
        <f>IF(FI4&lt;&gt;"Internet fijo", IF(FI6="Residencial",$I$17,$J$17),0)*#REF!</f>
        <v>#REF!</v>
      </c>
      <c r="FJ17" s="105" t="e">
        <f>IF(FJ4&lt;&gt;"Internet fijo", IF(FJ6="Residencial",$I$17,$J$17),0)*#REF!</f>
        <v>#REF!</v>
      </c>
      <c r="FK17" s="105" t="e">
        <f>IF(FK4&lt;&gt;"Internet fijo", IF(FK6="Residencial",$I$17,$J$17),0)*#REF!</f>
        <v>#REF!</v>
      </c>
      <c r="FL17" s="105" t="e">
        <f>IF(FL4&lt;&gt;"Internet fijo", IF(FL6="Residencial",$I$17,$J$17),0)*#REF!</f>
        <v>#REF!</v>
      </c>
      <c r="FM17" s="105" t="e">
        <f>IF(FM4&lt;&gt;"Internet fijo", IF(FM6="Residencial",$I$17,$J$17),0)*#REF!</f>
        <v>#REF!</v>
      </c>
      <c r="FN17" s="105" t="e">
        <f>IF(FN4&lt;&gt;"Internet fijo", IF(FN6="Residencial",$I$17,$J$17),0)*#REF!</f>
        <v>#REF!</v>
      </c>
      <c r="FO17" s="105" t="e">
        <f>IF(FO4&lt;&gt;"Internet fijo", IF(FO6="Residencial",$I$17,$J$17),0)*#REF!</f>
        <v>#REF!</v>
      </c>
      <c r="FP17" s="105" t="e">
        <f>IF(FP4&lt;&gt;"Internet fijo", IF(FP6="Residencial",$I$17,$J$17),0)*#REF!</f>
        <v>#REF!</v>
      </c>
      <c r="FQ17" s="105" t="e">
        <f>IF(FQ4&lt;&gt;"Internet fijo", IF(FQ6="Residencial",$I$17,$J$17),0)*#REF!</f>
        <v>#REF!</v>
      </c>
      <c r="FR17" s="105" t="e">
        <f>IF(FR4&lt;&gt;"Internet fijo", IF(FR6="Residencial",$I$17,$J$17),0)*#REF!</f>
        <v>#REF!</v>
      </c>
      <c r="FS17" s="105" t="e">
        <f>IF(FS4&lt;&gt;"Internet fijo", IF(FS6="Residencial",$I$17,$J$17),0)*#REF!</f>
        <v>#REF!</v>
      </c>
      <c r="FT17" s="105" t="e">
        <f>IF(FT4&lt;&gt;"Internet fijo", IF(FT6="Residencial",$I$17,$J$17),0)*#REF!</f>
        <v>#REF!</v>
      </c>
      <c r="FU17" s="105" t="e">
        <f>IF(FU4&lt;&gt;"Internet fijo", IF(FU6="Residencial",$I$17,$J$17),0)*#REF!</f>
        <v>#REF!</v>
      </c>
      <c r="FV17" s="105" t="e">
        <f>IF(FV4&lt;&gt;"Internet fijo", IF(FV6="Residencial",$I$17,$J$17),0)*#REF!</f>
        <v>#REF!</v>
      </c>
      <c r="FW17" s="105" t="e">
        <f>IF(FW4&lt;&gt;"Internet fijo", IF(FW6="Residencial",$I$17,$J$17),0)*#REF!</f>
        <v>#REF!</v>
      </c>
      <c r="FX17" s="105" t="e">
        <f>IF(FX4&lt;&gt;"Internet fijo", IF(FX6="Residencial",$I$17,$J$17),0)*#REF!</f>
        <v>#REF!</v>
      </c>
      <c r="FY17" s="105" t="e">
        <f>IF(FY4&lt;&gt;"Internet fijo", IF(FY6="Residencial",$I$17,$J$17),0)*#REF!</f>
        <v>#REF!</v>
      </c>
      <c r="FZ17" s="105" t="e">
        <f>IF(FZ4&lt;&gt;"Internet fijo", IF(FZ6="Residencial",$I$17,$J$17),0)*#REF!</f>
        <v>#REF!</v>
      </c>
      <c r="GA17" s="105" t="e">
        <f>IF(GA4&lt;&gt;"Internet fijo", IF(GA6="Residencial",$I$17,$J$17),0)*#REF!</f>
        <v>#REF!</v>
      </c>
      <c r="GB17" s="105" t="e">
        <f>IF(GB4&lt;&gt;"Internet fijo", IF(GB6="Residencial",$I$17,$J$17),0)*#REF!</f>
        <v>#REF!</v>
      </c>
      <c r="GC17" s="105" t="e">
        <f>IF(GC4&lt;&gt;"Internet fijo", IF(GC6="Residencial",$I$17,$J$17),0)*#REF!</f>
        <v>#REF!</v>
      </c>
      <c r="GD17" s="105" t="e">
        <f>IF(GD4&lt;&gt;"Internet fijo", IF(GD6="Residencial",$I$17,$J$17),0)*#REF!</f>
        <v>#REF!</v>
      </c>
      <c r="GE17" s="105" t="e">
        <f>IF(GE4&lt;&gt;"Internet fijo", IF(GE6="Residencial",$I$17,$J$17),0)*#REF!</f>
        <v>#REF!</v>
      </c>
      <c r="GF17" s="105" t="e">
        <f>IF(GF4&lt;&gt;"Internet fijo", IF(GF6="Residencial",$I$17,$J$17),0)*#REF!</f>
        <v>#REF!</v>
      </c>
      <c r="GG17" s="105" t="e">
        <f>IF(GG4&lt;&gt;"Internet fijo", IF(GG6="Residencial",$I$17,$J$17),0)*#REF!</f>
        <v>#REF!</v>
      </c>
      <c r="GH17" s="105" t="e">
        <f>IF(GH4&lt;&gt;"Internet fijo", IF(GH6="Residencial",$I$17,$J$17),0)*#REF!</f>
        <v>#REF!</v>
      </c>
      <c r="GI17" s="105" t="e">
        <f>IF(GI4&lt;&gt;"Internet fijo", IF(GI6="Residencial",$I$17,$J$17),0)*#REF!</f>
        <v>#REF!</v>
      </c>
      <c r="GJ17" s="105" t="e">
        <f>IF(GJ4&lt;&gt;"Internet fijo", IF(GJ6="Residencial",$I$17,$J$17),0)*#REF!</f>
        <v>#REF!</v>
      </c>
      <c r="GK17" s="105" t="e">
        <f>IF(GK4&lt;&gt;"Internet fijo", IF(GK6="Residencial",$I$17,$J$17),0)*#REF!</f>
        <v>#REF!</v>
      </c>
      <c r="GL17" s="105" t="e">
        <f>IF(GL4&lt;&gt;"Internet fijo", IF(GL6="Residencial",$I$17,$J$17),0)*#REF!</f>
        <v>#REF!</v>
      </c>
      <c r="GM17" s="105" t="e">
        <f>IF(GM4&lt;&gt;"Internet fijo", IF(GM6="Residencial",$I$17,$J$17),0)*#REF!</f>
        <v>#REF!</v>
      </c>
      <c r="GN17" s="105" t="e">
        <f>IF(GN4&lt;&gt;"Internet fijo", IF(GN6="Residencial",$I$17,$J$17),0)*#REF!</f>
        <v>#REF!</v>
      </c>
      <c r="GO17" s="105" t="e">
        <f>IF(GO4&lt;&gt;"Internet fijo", IF(GO6="Residencial",$I$17,$J$17),0)*#REF!</f>
        <v>#REF!</v>
      </c>
      <c r="GP17" s="105" t="e">
        <f>IF(GP4&lt;&gt;"Internet fijo", IF(GP6="Residencial",$I$17,$J$17),0)*#REF!</f>
        <v>#REF!</v>
      </c>
      <c r="GQ17" s="105" t="e">
        <f>IF(GQ4&lt;&gt;"Internet fijo", IF(GQ6="Residencial",$I$17,$J$17),0)*#REF!</f>
        <v>#REF!</v>
      </c>
      <c r="GR17" s="105" t="e">
        <f>IF(GR4&lt;&gt;"Internet fijo", IF(GR6="Residencial",$I$17,$J$17),0)*#REF!</f>
        <v>#REF!</v>
      </c>
      <c r="GS17" s="105" t="e">
        <f>IF(GS4&lt;&gt;"Internet fijo", IF(GS6="Residencial",$I$17,$J$17),0)*#REF!</f>
        <v>#REF!</v>
      </c>
      <c r="GT17" s="105" t="e">
        <f>IF(GT4&lt;&gt;"Internet fijo", IF(GT6="Residencial",$I$17,$J$17),0)*#REF!</f>
        <v>#REF!</v>
      </c>
      <c r="GU17" s="105" t="e">
        <f>IF(GU4&lt;&gt;"Internet fijo", IF(GU6="Residencial",$I$17,$J$17),0)*#REF!</f>
        <v>#REF!</v>
      </c>
      <c r="GV17" s="105" t="e">
        <f>IF(GV4&lt;&gt;"Internet fijo", IF(GV6="Residencial",$I$17,$J$17),0)*#REF!</f>
        <v>#REF!</v>
      </c>
      <c r="GW17" s="105" t="e">
        <f>IF(GW4&lt;&gt;"Internet fijo", IF(GW6="Residencial",$I$17,$J$17),0)*#REF!</f>
        <v>#REF!</v>
      </c>
      <c r="GX17" s="105" t="e">
        <f>IF(GX4&lt;&gt;"Internet fijo", IF(GX6="Residencial",$I$17,$J$17),0)*#REF!</f>
        <v>#REF!</v>
      </c>
      <c r="GY17" s="105" t="e">
        <f>IF(GY4&lt;&gt;"Internet fijo", IF(GY6="Residencial",$I$17,$J$17),0)*#REF!</f>
        <v>#REF!</v>
      </c>
      <c r="GZ17" s="105" t="e">
        <f>IF(GZ4&lt;&gt;"Internet fijo", IF(GZ6="Residencial",$I$17,$J$17),0)*#REF!</f>
        <v>#REF!</v>
      </c>
      <c r="HA17" s="105" t="e">
        <f>IF(HA4&lt;&gt;"Internet fijo", IF(HA6="Residencial",$I$17,$J$17),0)*#REF!</f>
        <v>#REF!</v>
      </c>
      <c r="HB17" s="105" t="e">
        <f>IF(HB4&lt;&gt;"Internet fijo", IF(HB6="Residencial",$I$17,$J$17),0)*#REF!</f>
        <v>#REF!</v>
      </c>
      <c r="HC17" s="105" t="e">
        <f>IF(HC4&lt;&gt;"Internet fijo", IF(HC6="Residencial",$I$17,$J$17),0)*#REF!</f>
        <v>#REF!</v>
      </c>
      <c r="HD17" s="105" t="e">
        <f>IF(HD4&lt;&gt;"Internet fijo", IF(HD6="Residencial",$I$17,$J$17),0)*#REF!</f>
        <v>#REF!</v>
      </c>
      <c r="HE17" s="105" t="e">
        <f>IF(HE4&lt;&gt;"Internet fijo", IF(HE6="Residencial",$I$17,$J$17),0)*#REF!</f>
        <v>#REF!</v>
      </c>
      <c r="HF17" s="105" t="e">
        <f>IF(HF4&lt;&gt;"Internet fijo", IF(HF6="Residencial",$I$17,$J$17),0)*#REF!</f>
        <v>#REF!</v>
      </c>
      <c r="HG17" s="105" t="e">
        <f>IF(HG4&lt;&gt;"Internet fijo", IF(HG6="Residencial",$I$17,$J$17),0)*#REF!</f>
        <v>#REF!</v>
      </c>
      <c r="HH17" s="105" t="e">
        <f>IF(HH4&lt;&gt;"Internet fijo", IF(HH6="Residencial",$I$17,$J$17),0)*#REF!</f>
        <v>#REF!</v>
      </c>
      <c r="HI17" s="105" t="e">
        <f>IF(HI4&lt;&gt;"Internet fijo", IF(HI6="Residencial",$I$17,$J$17),0)*#REF!</f>
        <v>#REF!</v>
      </c>
      <c r="HJ17" s="105" t="e">
        <f>IF(HJ4&lt;&gt;"Internet fijo", IF(HJ6="Residencial",$I$17,$J$17),0)*#REF!</f>
        <v>#REF!</v>
      </c>
      <c r="HK17" s="105" t="e">
        <f>IF(HK4&lt;&gt;"Internet fijo", IF(HK6="Residencial",$I$17,$J$17),0)*#REF!</f>
        <v>#REF!</v>
      </c>
      <c r="HL17" s="105" t="e">
        <f>IF(HL4&lt;&gt;"Internet fijo", IF(HL6="Residencial",$I$17,$J$17),0)*#REF!</f>
        <v>#REF!</v>
      </c>
    </row>
    <row r="18" spans="1:221" x14ac:dyDescent="0.2">
      <c r="C18" s="79"/>
      <c r="G18" s="61"/>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c r="BQ18" s="222"/>
      <c r="BR18" s="222"/>
      <c r="BS18" s="222"/>
      <c r="BT18" s="222"/>
      <c r="BU18" s="222"/>
      <c r="BV18" s="222"/>
      <c r="BW18" s="222"/>
      <c r="BX18" s="222"/>
      <c r="BY18" s="222"/>
      <c r="BZ18" s="222"/>
      <c r="CA18" s="222"/>
      <c r="CB18" s="222"/>
      <c r="CC18" s="222"/>
      <c r="CD18" s="222"/>
      <c r="CE18" s="222"/>
      <c r="CF18" s="222"/>
      <c r="CG18" s="222"/>
      <c r="CH18" s="222"/>
      <c r="CI18" s="222"/>
      <c r="CJ18" s="222"/>
      <c r="CK18" s="222"/>
      <c r="CL18" s="222"/>
      <c r="CM18" s="222"/>
      <c r="CN18" s="222"/>
      <c r="CO18" s="222"/>
      <c r="CP18" s="222"/>
      <c r="CQ18" s="222"/>
      <c r="CR18" s="222"/>
      <c r="CS18" s="222"/>
      <c r="CT18" s="222"/>
      <c r="CU18" s="222"/>
      <c r="CV18" s="222"/>
      <c r="CW18" s="222"/>
      <c r="CX18" s="222"/>
      <c r="CY18" s="222"/>
      <c r="CZ18" s="222"/>
      <c r="DA18" s="222"/>
      <c r="DB18" s="222"/>
      <c r="DC18" s="222"/>
      <c r="DD18" s="222"/>
      <c r="DE18" s="222"/>
      <c r="DF18" s="222"/>
      <c r="DG18" s="222"/>
      <c r="DH18" s="222"/>
      <c r="DI18" s="222"/>
      <c r="DJ18" s="222"/>
      <c r="DK18" s="222"/>
      <c r="DL18" s="222"/>
      <c r="DM18" s="222"/>
      <c r="DN18" s="222"/>
      <c r="DO18" s="222"/>
      <c r="DP18" s="222"/>
      <c r="DQ18" s="222"/>
      <c r="DR18" s="221"/>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5"/>
      <c r="GP18" s="105"/>
      <c r="GQ18" s="105"/>
      <c r="GR18" s="105"/>
      <c r="GS18" s="105"/>
      <c r="GT18" s="105"/>
      <c r="GU18" s="105"/>
      <c r="GV18" s="105"/>
      <c r="GW18" s="105"/>
      <c r="GX18" s="105"/>
      <c r="GY18" s="105"/>
      <c r="GZ18" s="105"/>
      <c r="HA18" s="105"/>
      <c r="HB18" s="105"/>
      <c r="HC18" s="105"/>
      <c r="HD18" s="105"/>
      <c r="HE18" s="105"/>
      <c r="HF18" s="105"/>
      <c r="HG18" s="105"/>
      <c r="HH18" s="105"/>
      <c r="HI18" s="105"/>
      <c r="HJ18" s="105"/>
      <c r="HK18" s="105"/>
      <c r="HL18" s="105"/>
    </row>
    <row r="19" spans="1:221" x14ac:dyDescent="0.2">
      <c r="C19" s="79" t="s">
        <v>383</v>
      </c>
      <c r="G19" s="61" t="s">
        <v>130</v>
      </c>
      <c r="H19" t="s">
        <v>399</v>
      </c>
      <c r="I19" s="206">
        <f>IFERROR(ROUNDUP(VLOOKUP(I2,Base!$B$7:$K$119,9,FALSE),0),"")</f>
        <v>153</v>
      </c>
      <c r="J19" s="206">
        <f>IFERROR(ROUNDUP(VLOOKUP(J2,Base!$B$7:$K$119,9,FALSE),0),"")</f>
        <v>153</v>
      </c>
      <c r="K19" s="206">
        <f>IFERROR(ROUNDUP(VLOOKUP(K2,Base!$B$7:$K$119,9,FALSE),0),"")</f>
        <v>153</v>
      </c>
      <c r="L19" s="206">
        <f>IFERROR(ROUNDUP(VLOOKUP(L2,Base!$B$7:$K$119,9,FALSE),0),"")</f>
        <v>153</v>
      </c>
      <c r="M19" s="206">
        <f>IFERROR(ROUNDUP(VLOOKUP(M2,Base!$B$7:$K$119,9,FALSE),0),"")</f>
        <v>153</v>
      </c>
      <c r="N19" s="206">
        <f>IFERROR(ROUNDUP(VLOOKUP(N2,Base!$B$7:$K$119,9,FALSE),0),"")</f>
        <v>153</v>
      </c>
      <c r="O19" s="206">
        <f>IFERROR(ROUNDUP(VLOOKUP(O2,Base!$B$7:$K$119,9,FALSE),0),"")</f>
        <v>153</v>
      </c>
      <c r="P19" s="206">
        <f>IFERROR(ROUNDUP(VLOOKUP(P2,Base!$B$7:$K$119,9,FALSE),0),"")</f>
        <v>153</v>
      </c>
      <c r="Q19" s="206">
        <f>IFERROR(ROUNDUP(VLOOKUP(Q2,Base!$B$7:$K$119,9,FALSE),0),"")</f>
        <v>153</v>
      </c>
      <c r="R19" s="206">
        <f>IFERROR(ROUNDUP(VLOOKUP(R2,Base!$B$7:$K$119,9,FALSE),0),"")</f>
        <v>153</v>
      </c>
      <c r="S19" s="206">
        <f>IFERROR(ROUNDUP(VLOOKUP(S2,Base!$B$7:$K$119,9,FALSE),0),"")</f>
        <v>153</v>
      </c>
      <c r="T19" s="206">
        <f>IFERROR(ROUNDUP(VLOOKUP(T2,Base!$B$7:$K$119,9,FALSE),0),"")</f>
        <v>121</v>
      </c>
      <c r="U19" s="206">
        <f>IFERROR(ROUNDUP(VLOOKUP(U2,Base!$B$7:$K$119,9,FALSE),0),"")</f>
        <v>121</v>
      </c>
      <c r="V19" s="206">
        <f>IFERROR(ROUNDUP(VLOOKUP(V2,Base!$B$7:$K$119,9,FALSE),0),"")</f>
        <v>121</v>
      </c>
      <c r="W19" s="206">
        <f>IFERROR(ROUNDUP(VLOOKUP(W2,Base!$B$7:$K$119,9,FALSE),0),"")</f>
        <v>121</v>
      </c>
      <c r="X19" s="206">
        <f>IFERROR(ROUNDUP(VLOOKUP(X2,Base!$B$7:$K$119,9,FALSE),0),"")</f>
        <v>121</v>
      </c>
      <c r="Y19" s="206">
        <f>IFERROR(ROUNDUP(VLOOKUP(Y2,Base!$B$7:$K$119,9,FALSE),0),"")</f>
        <v>121</v>
      </c>
      <c r="Z19" s="206">
        <f>IFERROR(ROUNDUP(VLOOKUP(Z2,Base!$B$7:$K$119,9,FALSE),0),"")</f>
        <v>121</v>
      </c>
      <c r="AA19" s="206">
        <f>IFERROR(ROUNDUP(VLOOKUP(AA2,Base!$B$7:$K$119,9,FALSE),0),"")</f>
        <v>121</v>
      </c>
      <c r="AB19" s="206">
        <f>IFERROR(ROUNDUP(VLOOKUP(AB2,Base!$B$7:$K$119,9,FALSE),0),"")</f>
        <v>121</v>
      </c>
      <c r="AC19" s="206">
        <f>IFERROR(ROUNDUP(VLOOKUP(AC2,Base!$B$7:$K$119,9,FALSE),0),"")</f>
        <v>121</v>
      </c>
      <c r="AD19" s="206">
        <f>IFERROR(ROUNDUP(VLOOKUP(AD2,Base!$B$7:$K$119,9,FALSE),0),"")</f>
        <v>121</v>
      </c>
      <c r="AE19" s="206">
        <f>IFERROR(ROUNDUP(VLOOKUP(AE2,Base!$B$7:$K$119,9,FALSE),0),"")</f>
        <v>121</v>
      </c>
      <c r="AF19" s="206">
        <f>IFERROR(ROUNDUP(VLOOKUP(AF2,Base!$B$7:$K$119,9,FALSE),0),"")</f>
        <v>121</v>
      </c>
      <c r="AG19" s="206">
        <f>IFERROR(ROUNDUP(VLOOKUP(AG2,Base!$B$7:$K$119,9,FALSE),0),"")</f>
        <v>121</v>
      </c>
      <c r="AH19" s="206">
        <f>IFERROR(ROUNDUP(VLOOKUP(AH2,Base!$B$7:$K$119,9,FALSE),0),"")</f>
        <v>121</v>
      </c>
      <c r="AI19" s="206">
        <f>IFERROR(ROUNDUP(VLOOKUP(AI2,Base!$B$7:$K$119,9,FALSE),0),"")</f>
        <v>121</v>
      </c>
      <c r="AJ19" s="206">
        <f>IFERROR(ROUNDUP(VLOOKUP(AJ2,Base!$B$7:$K$119,9,FALSE),0),"")</f>
        <v>121</v>
      </c>
      <c r="AK19" s="206">
        <f>IFERROR(ROUNDUP(VLOOKUP(AK2,Base!$B$7:$K$119,9,FALSE),0),"")</f>
        <v>121</v>
      </c>
      <c r="AL19" s="206">
        <f>IFERROR(ROUNDUP(VLOOKUP(AL2,Base!$B$7:$K$119,9,FALSE),0),"")</f>
        <v>153</v>
      </c>
      <c r="AM19" s="206">
        <f>IFERROR(ROUNDUP(VLOOKUP(AM2,Base!$B$7:$K$119,9,FALSE),0),"")</f>
        <v>153</v>
      </c>
      <c r="AN19" s="206">
        <f>IFERROR(ROUNDUP(VLOOKUP(AN2,Base!$B$7:$K$119,9,FALSE),0),"")</f>
        <v>153</v>
      </c>
      <c r="AO19" s="206">
        <f>IFERROR(ROUNDUP(VLOOKUP(AO2,Base!$B$7:$K$119,9,FALSE),0),"")</f>
        <v>153</v>
      </c>
      <c r="AP19" s="206">
        <f>IFERROR(ROUNDUP(VLOOKUP(AP2,Base!$B$7:$K$119,9,FALSE),0),"")</f>
        <v>153</v>
      </c>
      <c r="AQ19" s="206">
        <f>IFERROR(ROUNDUP(VLOOKUP(AQ2,Base!$B$7:$K$119,9,FALSE),0),"")</f>
        <v>153</v>
      </c>
      <c r="AR19" s="206">
        <f>IFERROR(ROUNDUP(VLOOKUP(AR2,Base!$B$7:$K$119,9,FALSE),0),"")</f>
        <v>153</v>
      </c>
      <c r="AS19" s="206">
        <f>IFERROR(ROUNDUP(VLOOKUP(AS2,Base!$B$7:$K$119,9,FALSE),0),"")</f>
        <v>153</v>
      </c>
      <c r="AT19" s="206">
        <f>IFERROR(ROUNDUP(VLOOKUP(AT2,Base!$B$7:$K$119,9,FALSE),0),"")</f>
        <v>153</v>
      </c>
      <c r="AU19" s="206">
        <f>IFERROR(ROUNDUP(VLOOKUP(AU2,Base!$B$7:$K$119,9,FALSE),0),"")</f>
        <v>122</v>
      </c>
      <c r="AV19" s="206">
        <f>IFERROR(ROUNDUP(VLOOKUP(AV2,Base!$B$7:$K$119,9,FALSE),0),"")</f>
        <v>121</v>
      </c>
      <c r="AW19" s="206">
        <f>IFERROR(ROUNDUP(VLOOKUP(AW2,Base!$B$7:$K$119,9,FALSE),0),"")</f>
        <v>121</v>
      </c>
      <c r="AX19" s="206">
        <f>IFERROR(ROUNDUP(VLOOKUP(AX2,Base!$B$7:$K$119,9,FALSE),0),"")</f>
        <v>121</v>
      </c>
      <c r="AY19" s="206">
        <f>IFERROR(ROUNDUP(VLOOKUP(AY2,Base!$B$7:$K$119,9,FALSE),0),"")</f>
        <v>121</v>
      </c>
      <c r="AZ19" s="206">
        <f>IFERROR(ROUNDUP(VLOOKUP(AZ2,Base!$B$7:$K$119,9,FALSE),0),"")</f>
        <v>121</v>
      </c>
      <c r="BA19" s="206">
        <f>IFERROR(ROUNDUP(VLOOKUP(BA2,Base!$B$7:$K$119,9,FALSE),0),"")</f>
        <v>121</v>
      </c>
      <c r="BB19" s="206">
        <f>IFERROR(ROUNDUP(VLOOKUP(BB2,Base!$B$7:$K$119,9,FALSE),0),"")</f>
        <v>121</v>
      </c>
      <c r="BC19" s="206">
        <f>IFERROR(ROUNDUP(VLOOKUP(BC2,Base!$B$7:$K$119,9,FALSE),0),"")</f>
        <v>121</v>
      </c>
      <c r="BD19" s="206">
        <f>IFERROR(ROUNDUP(VLOOKUP(BD2,Base!$B$7:$K$119,9,FALSE),0),"")</f>
        <v>121</v>
      </c>
      <c r="BE19" s="206">
        <f>IFERROR(ROUNDUP(VLOOKUP(BE2,Base!$B$7:$K$119,9,FALSE),0),"")</f>
        <v>121</v>
      </c>
      <c r="BF19" s="206">
        <f>IFERROR(ROUNDUP(VLOOKUP(BF2,Base!$B$7:$K$119,9,FALSE),0),"")</f>
        <v>121</v>
      </c>
      <c r="BG19" s="206">
        <f>IFERROR(ROUNDUP(VLOOKUP(BG2,Base!$B$7:$K$119,9,FALSE),0),"")</f>
        <v>121</v>
      </c>
      <c r="BH19" s="206">
        <f>IFERROR(ROUNDUP(VLOOKUP(BH2,Base!$B$7:$K$119,9,FALSE),0),"")</f>
        <v>121</v>
      </c>
      <c r="BI19" s="206">
        <f>IFERROR(ROUNDUP(VLOOKUP(BI2,Base!$B$7:$K$119,9,FALSE),0),"")</f>
        <v>121</v>
      </c>
      <c r="BJ19" s="206">
        <f>IFERROR(ROUNDUP(VLOOKUP(BJ2,Base!$B$7:$K$119,9,FALSE),0),"")</f>
        <v>121</v>
      </c>
      <c r="BK19" s="206">
        <f>IFERROR(ROUNDUP(VLOOKUP(BK2,Base!$B$7:$K$119,9,FALSE),0),"")</f>
        <v>121</v>
      </c>
      <c r="BL19" s="206">
        <f>IFERROR(ROUNDUP(VLOOKUP(BL2,Base!$B$7:$K$119,9,FALSE),0),"")</f>
        <v>121</v>
      </c>
      <c r="BM19" s="206">
        <f>IFERROR(ROUNDUP(VLOOKUP(BM2,Base!$B$7:$K$119,9,FALSE),0),"")</f>
        <v>94</v>
      </c>
      <c r="BN19" s="206">
        <f>IFERROR(ROUNDUP(VLOOKUP(BN2,Base!$B$7:$K$119,9,FALSE),0),"")</f>
        <v>94</v>
      </c>
      <c r="BO19" s="206">
        <f>IFERROR(ROUNDUP(VLOOKUP(BO2,Base!$B$7:$K$119,9,FALSE),0),"")</f>
        <v>94</v>
      </c>
      <c r="BP19" s="206">
        <f>IFERROR(ROUNDUP(VLOOKUP(BP2,Base!$B$7:$K$119,9,FALSE),0),"")</f>
        <v>94</v>
      </c>
      <c r="BQ19" s="206">
        <f>IFERROR(ROUNDUP(VLOOKUP(BQ2,Base!$B$7:$K$119,9,FALSE),0),"")</f>
        <v>94</v>
      </c>
      <c r="BR19" s="206">
        <f>IFERROR(ROUNDUP(VLOOKUP(BR2,Base!$B$7:$K$119,9,FALSE),0),"")</f>
        <v>94</v>
      </c>
      <c r="BS19" s="206">
        <f>IFERROR(ROUNDUP(VLOOKUP(BS2,Base!$B$7:$K$119,9,FALSE),0),"")</f>
        <v>94</v>
      </c>
      <c r="BT19" s="206">
        <f>IFERROR(ROUNDUP(VLOOKUP(BT2,Base!$B$7:$K$119,9,FALSE),0),"")</f>
        <v>94</v>
      </c>
      <c r="BU19" s="206">
        <f>IFERROR(ROUNDUP(VLOOKUP(BU2,Base!$B$7:$K$119,9,FALSE),0),"")</f>
        <v>94</v>
      </c>
      <c r="BV19" s="206">
        <f>IFERROR(ROUNDUP(VLOOKUP(BV2,Base!$B$7:$K$119,9,FALSE),0),"")</f>
        <v>104</v>
      </c>
      <c r="BW19" s="206">
        <f>IFERROR(ROUNDUP(VLOOKUP(BW2,Base!$B$7:$K$119,9,FALSE),0),"")</f>
        <v>104</v>
      </c>
      <c r="BX19" s="206">
        <f>IFERROR(ROUNDUP(VLOOKUP(BX2,Base!$B$7:$K$119,9,FALSE),0),"")</f>
        <v>77</v>
      </c>
      <c r="BY19" s="206">
        <f>IFERROR(ROUNDUP(VLOOKUP(BY2,Base!$B$7:$K$119,9,FALSE),0),"")</f>
        <v>77</v>
      </c>
      <c r="BZ19" s="206">
        <f>IFERROR(ROUNDUP(VLOOKUP(BZ2,Base!$B$7:$K$119,9,FALSE),0),"")</f>
        <v>77</v>
      </c>
      <c r="CA19" s="206">
        <f>IFERROR(ROUNDUP(VLOOKUP(CA2,Base!$B$7:$K$119,9,FALSE),0),"")</f>
        <v>77</v>
      </c>
      <c r="CB19" s="206">
        <f>IFERROR(ROUNDUP(VLOOKUP(CB2,Base!$B$7:$K$119,9,FALSE),0),"")</f>
        <v>77</v>
      </c>
      <c r="CC19" s="206">
        <f>IFERROR(ROUNDUP(VLOOKUP(CC2,Base!$B$7:$K$119,9,FALSE),0),"")</f>
        <v>77</v>
      </c>
      <c r="CD19" s="206">
        <f>IFERROR(ROUNDUP(VLOOKUP(CD2,Base!$B$7:$K$119,9,FALSE),0),"")</f>
        <v>77</v>
      </c>
      <c r="CE19" s="206">
        <f>IFERROR(ROUNDUP(VLOOKUP(CE2,Base!$B$7:$K$119,9,FALSE),0),"")</f>
        <v>81</v>
      </c>
      <c r="CF19" s="206">
        <f>IFERROR(ROUNDUP(VLOOKUP(CF2,Base!$B$7:$K$119,9,FALSE),0),"")</f>
        <v>81</v>
      </c>
      <c r="CG19" s="206">
        <f>IFERROR(ROUNDUP(VLOOKUP(CG2,Base!$B$7:$K$119,9,FALSE),0),"")</f>
        <v>77</v>
      </c>
      <c r="CH19" s="206">
        <f>IFERROR(ROUNDUP(VLOOKUP(CH2,Base!$B$7:$K$119,9,FALSE),0),"")</f>
        <v>77</v>
      </c>
      <c r="CI19" s="206">
        <f>IFERROR(ROUNDUP(VLOOKUP(CI2,Base!$B$7:$K$119,9,FALSE),0),"")</f>
        <v>77</v>
      </c>
      <c r="CJ19" s="206">
        <f>IFERROR(ROUNDUP(VLOOKUP(CJ2,Base!$B$7:$K$119,9,FALSE),0),"")</f>
        <v>77</v>
      </c>
      <c r="CK19" s="206">
        <f>IFERROR(ROUNDUP(VLOOKUP(CK2,Base!$B$7:$K$119,9,FALSE),0),"")</f>
        <v>77</v>
      </c>
      <c r="CL19" s="206">
        <f>IFERROR(ROUNDUP(VLOOKUP(CL2,Base!$B$7:$K$119,9,FALSE),0),"")</f>
        <v>77</v>
      </c>
      <c r="CM19" s="206">
        <f>IFERROR(ROUNDUP(VLOOKUP(CM2,Base!$B$7:$K$119,9,FALSE),0),"")</f>
        <v>77</v>
      </c>
      <c r="CN19" s="206">
        <f>IFERROR(ROUNDUP(VLOOKUP(CN2,Base!$B$7:$K$119,9,FALSE),0),"")</f>
        <v>81</v>
      </c>
      <c r="CO19" s="206">
        <f>IFERROR(ROUNDUP(VLOOKUP(CO2,Base!$B$7:$K$119,9,FALSE),0),"")</f>
        <v>81</v>
      </c>
      <c r="CP19" s="206">
        <f>IFERROR(ROUNDUP(VLOOKUP(CP2,Base!$B$7:$K$119,9,FALSE),0),"")</f>
        <v>94</v>
      </c>
      <c r="CQ19" s="206">
        <f>IFERROR(ROUNDUP(VLOOKUP(CQ2,Base!$B$7:$K$119,9,FALSE),0),"")</f>
        <v>94</v>
      </c>
      <c r="CR19" s="206">
        <f>IFERROR(ROUNDUP(VLOOKUP(CR2,Base!$B$7:$K$119,9,FALSE),0),"")</f>
        <v>94</v>
      </c>
      <c r="CS19" s="206">
        <f>IFERROR(ROUNDUP(VLOOKUP(CS2,Base!$B$7:$K$119,9,FALSE),0),"")</f>
        <v>94</v>
      </c>
      <c r="CT19" s="206">
        <f>IFERROR(ROUNDUP(VLOOKUP(CT2,Base!$B$7:$K$119,9,FALSE),0),"")</f>
        <v>94</v>
      </c>
      <c r="CU19" s="206">
        <f>IFERROR(ROUNDUP(VLOOKUP(CU2,Base!$B$7:$K$119,9,FALSE),0),"")</f>
        <v>94</v>
      </c>
      <c r="CV19" s="206">
        <f>IFERROR(ROUNDUP(VLOOKUP(CV2,Base!$B$7:$K$119,9,FALSE),0),"")</f>
        <v>94</v>
      </c>
      <c r="CW19" s="206">
        <f>IFERROR(ROUNDUP(VLOOKUP(CW2,Base!$B$7:$K$119,9,FALSE),0),"")</f>
        <v>104</v>
      </c>
      <c r="CX19" s="206">
        <f>IFERROR(ROUNDUP(VLOOKUP(CX2,Base!$B$7:$K$119,9,FALSE),0),"")</f>
        <v>104</v>
      </c>
      <c r="CY19" s="206">
        <f>IFERROR(ROUNDUP(VLOOKUP(CY2,Base!$B$7:$K$119,9,FALSE),0),"")</f>
        <v>77</v>
      </c>
      <c r="CZ19" s="206">
        <f>IFERROR(ROUNDUP(VLOOKUP(CZ2,Base!$B$7:$K$119,9,FALSE),0),"")</f>
        <v>77</v>
      </c>
      <c r="DA19" s="206">
        <f>IFERROR(ROUNDUP(VLOOKUP(DA2,Base!$B$7:$K$119,9,FALSE),0),"")</f>
        <v>77</v>
      </c>
      <c r="DB19" s="206">
        <f>IFERROR(ROUNDUP(VLOOKUP(DB2,Base!$B$7:$K$119,9,FALSE),0),"")</f>
        <v>77</v>
      </c>
      <c r="DC19" s="206">
        <f>IFERROR(ROUNDUP(VLOOKUP(DC2,Base!$B$7:$K$119,9,FALSE),0),"")</f>
        <v>77</v>
      </c>
      <c r="DD19" s="206">
        <f>IFERROR(ROUNDUP(VLOOKUP(DD2,Base!$B$7:$K$119,9,FALSE),0),"")</f>
        <v>77</v>
      </c>
      <c r="DE19" s="206">
        <f>IFERROR(ROUNDUP(VLOOKUP(DE2,Base!$B$7:$K$119,9,FALSE),0),"")</f>
        <v>77</v>
      </c>
      <c r="DF19" s="206">
        <f>IFERROR(ROUNDUP(VLOOKUP(DF2,Base!$B$7:$K$119,9,FALSE),0),"")</f>
        <v>81</v>
      </c>
      <c r="DG19" s="206">
        <f>IFERROR(ROUNDUP(VLOOKUP(DG2,Base!$B$7:$K$119,9,FALSE),0),"")</f>
        <v>81</v>
      </c>
      <c r="DH19" s="206">
        <f>IFERROR(ROUNDUP(VLOOKUP(DH2,Base!$B$7:$K$119,9,FALSE),0),"")</f>
        <v>77</v>
      </c>
      <c r="DI19" s="206">
        <f>IFERROR(ROUNDUP(VLOOKUP(DI2,Base!$B$7:$K$119,9,FALSE),0),"")</f>
        <v>77</v>
      </c>
      <c r="DJ19" s="206">
        <f>IFERROR(ROUNDUP(VLOOKUP(DJ2,Base!$B$7:$K$119,9,FALSE),0),"")</f>
        <v>77</v>
      </c>
      <c r="DK19" s="206">
        <f>IFERROR(ROUNDUP(VLOOKUP(DK2,Base!$B$7:$K$119,9,FALSE),0),"")</f>
        <v>77</v>
      </c>
      <c r="DL19" s="206">
        <f>IFERROR(ROUNDUP(VLOOKUP(DL2,Base!$B$7:$K$119,9,FALSE),0),"")</f>
        <v>77</v>
      </c>
      <c r="DM19" s="206">
        <f>IFERROR(ROUNDUP(VLOOKUP(DM2,Base!$B$7:$K$119,9,FALSE),0),"")</f>
        <v>77</v>
      </c>
      <c r="DN19" s="206">
        <f>IFERROR(ROUNDUP(VLOOKUP(DN2,Base!$B$7:$K$119,9,FALSE),0),"")</f>
        <v>77</v>
      </c>
      <c r="DO19" s="206">
        <f>IFERROR(ROUNDUP(VLOOKUP(DO2,Base!$B$7:$K$119,9,FALSE),0),"")</f>
        <v>81</v>
      </c>
      <c r="DP19" s="206">
        <f>IFERROR(ROUNDUP(VLOOKUP(DP2,Base!$B$7:$K$119,9,FALSE),0),"")</f>
        <v>81</v>
      </c>
      <c r="DQ19" s="206">
        <f>IFERROR(ROUNDUP(VLOOKUP(DQ2,Base!$B$7:$K$119,9,FALSE),0),"")</f>
        <v>130</v>
      </c>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5"/>
      <c r="GA19" s="105"/>
      <c r="GB19" s="105"/>
      <c r="GC19" s="105"/>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105"/>
      <c r="HE19" s="105"/>
      <c r="HF19" s="105"/>
      <c r="HG19" s="105"/>
      <c r="HH19" s="105"/>
      <c r="HI19" s="105"/>
      <c r="HJ19" s="105"/>
      <c r="HK19" s="105"/>
      <c r="HL19" s="105"/>
    </row>
    <row r="20" spans="1:221" x14ac:dyDescent="0.2">
      <c r="C20" s="79" t="s">
        <v>384</v>
      </c>
      <c r="G20" s="61" t="s">
        <v>130</v>
      </c>
      <c r="H20" t="s">
        <v>399</v>
      </c>
      <c r="I20" s="206">
        <f>IFERROR(ROUNDUP(VLOOKUP(I2,Base!$B$7:$K$119,10,FALSE),0),"")</f>
        <v>0</v>
      </c>
      <c r="J20" s="206">
        <f>IFERROR(ROUNDUP(VLOOKUP(J2,Base!$B$7:$K$119,10,FALSE),0),"")</f>
        <v>0</v>
      </c>
      <c r="K20" s="206">
        <f>IFERROR(ROUNDUP(VLOOKUP(K2,Base!$B$7:$K$119,10,FALSE),0),"")</f>
        <v>0</v>
      </c>
      <c r="L20" s="206">
        <f>IFERROR(ROUNDUP(VLOOKUP(L2,Base!$B$7:$K$119,10,FALSE),0),"")</f>
        <v>0</v>
      </c>
      <c r="M20" s="206">
        <f>IFERROR(ROUNDUP(VLOOKUP(M2,Base!$B$7:$K$119,10,FALSE),0),"")</f>
        <v>0</v>
      </c>
      <c r="N20" s="206">
        <f>IFERROR(ROUNDUP(VLOOKUP(N2,Base!$B$7:$K$119,10,FALSE),0),"")</f>
        <v>0</v>
      </c>
      <c r="O20" s="206">
        <f>IFERROR(ROUNDUP(VLOOKUP(O2,Base!$B$7:$K$119,10,FALSE),0),"")</f>
        <v>0</v>
      </c>
      <c r="P20" s="206">
        <f>IFERROR(ROUNDUP(VLOOKUP(P2,Base!$B$7:$K$119,10,FALSE),0),"")</f>
        <v>0</v>
      </c>
      <c r="Q20" s="206">
        <f>IFERROR(ROUNDUP(VLOOKUP(Q2,Base!$B$7:$K$119,10,FALSE),0),"")</f>
        <v>0</v>
      </c>
      <c r="R20" s="206">
        <f>IFERROR(ROUNDUP(VLOOKUP(R2,Base!$B$7:$K$119,10,FALSE),0),"")</f>
        <v>0</v>
      </c>
      <c r="S20" s="206">
        <f>IFERROR(ROUNDUP(VLOOKUP(S2,Base!$B$7:$K$119,10,FALSE),0),"")</f>
        <v>0</v>
      </c>
      <c r="T20" s="206">
        <f>IFERROR(ROUNDUP(VLOOKUP(T2,Base!$B$7:$K$119,10,FALSE),0),"")</f>
        <v>97</v>
      </c>
      <c r="U20" s="206">
        <f>IFERROR(ROUNDUP(VLOOKUP(U2,Base!$B$7:$K$119,10,FALSE),0),"")</f>
        <v>97</v>
      </c>
      <c r="V20" s="206">
        <f>IFERROR(ROUNDUP(VLOOKUP(V2,Base!$B$7:$K$119,10,FALSE),0),"")</f>
        <v>97</v>
      </c>
      <c r="W20" s="206">
        <f>IFERROR(ROUNDUP(VLOOKUP(W2,Base!$B$7:$K$119,10,FALSE),0),"")</f>
        <v>97</v>
      </c>
      <c r="X20" s="206">
        <f>IFERROR(ROUNDUP(VLOOKUP(X2,Base!$B$7:$K$119,10,FALSE),0),"")</f>
        <v>97</v>
      </c>
      <c r="Y20" s="206">
        <f>IFERROR(ROUNDUP(VLOOKUP(Y2,Base!$B$7:$K$119,10,FALSE),0),"")</f>
        <v>97</v>
      </c>
      <c r="Z20" s="206">
        <f>IFERROR(ROUNDUP(VLOOKUP(Z2,Base!$B$7:$K$119,10,FALSE),0),"")</f>
        <v>97</v>
      </c>
      <c r="AA20" s="206">
        <f>IFERROR(ROUNDUP(VLOOKUP(AA2,Base!$B$7:$K$119,10,FALSE),0),"")</f>
        <v>97</v>
      </c>
      <c r="AB20" s="206">
        <f>IFERROR(ROUNDUP(VLOOKUP(AB2,Base!$B$7:$K$119,10,FALSE),0),"")</f>
        <v>97</v>
      </c>
      <c r="AC20" s="206">
        <f>IFERROR(ROUNDUP(VLOOKUP(AC2,Base!$B$7:$K$119,10,FALSE),0),"")</f>
        <v>97</v>
      </c>
      <c r="AD20" s="206">
        <f>IFERROR(ROUNDUP(VLOOKUP(AD2,Base!$B$7:$K$119,10,FALSE),0),"")</f>
        <v>97</v>
      </c>
      <c r="AE20" s="206">
        <f>IFERROR(ROUNDUP(VLOOKUP(AE2,Base!$B$7:$K$119,10,FALSE),0),"")</f>
        <v>97</v>
      </c>
      <c r="AF20" s="206">
        <f>IFERROR(ROUNDUP(VLOOKUP(AF2,Base!$B$7:$K$119,10,FALSE),0),"")</f>
        <v>97</v>
      </c>
      <c r="AG20" s="206">
        <f>IFERROR(ROUNDUP(VLOOKUP(AG2,Base!$B$7:$K$119,10,FALSE),0),"")</f>
        <v>97</v>
      </c>
      <c r="AH20" s="206">
        <f>IFERROR(ROUNDUP(VLOOKUP(AH2,Base!$B$7:$K$119,10,FALSE),0),"")</f>
        <v>97</v>
      </c>
      <c r="AI20" s="206">
        <f>IFERROR(ROUNDUP(VLOOKUP(AI2,Base!$B$7:$K$119,10,FALSE),0),"")</f>
        <v>97</v>
      </c>
      <c r="AJ20" s="206">
        <f>IFERROR(ROUNDUP(VLOOKUP(AJ2,Base!$B$7:$K$119,10,FALSE),0),"")</f>
        <v>97</v>
      </c>
      <c r="AK20" s="206">
        <f>IFERROR(ROUNDUP(VLOOKUP(AK2,Base!$B$7:$K$119,10,FALSE),0),"")</f>
        <v>97</v>
      </c>
      <c r="AL20" s="206">
        <f>IFERROR(ROUNDUP(VLOOKUP(AL2,Base!$B$7:$K$119,10,FALSE),0),"")</f>
        <v>0</v>
      </c>
      <c r="AM20" s="206">
        <f>IFERROR(ROUNDUP(VLOOKUP(AM2,Base!$B$7:$K$119,10,FALSE),0),"")</f>
        <v>0</v>
      </c>
      <c r="AN20" s="206">
        <f>IFERROR(ROUNDUP(VLOOKUP(AN2,Base!$B$7:$K$119,10,FALSE),0),"")</f>
        <v>0</v>
      </c>
      <c r="AO20" s="206">
        <f>IFERROR(ROUNDUP(VLOOKUP(AO2,Base!$B$7:$K$119,10,FALSE),0),"")</f>
        <v>0</v>
      </c>
      <c r="AP20" s="206">
        <f>IFERROR(ROUNDUP(VLOOKUP(AP2,Base!$B$7:$K$119,10,FALSE),0),"")</f>
        <v>0</v>
      </c>
      <c r="AQ20" s="206">
        <f>IFERROR(ROUNDUP(VLOOKUP(AQ2,Base!$B$7:$K$119,10,FALSE),0),"")</f>
        <v>0</v>
      </c>
      <c r="AR20" s="206">
        <f>IFERROR(ROUNDUP(VLOOKUP(AR2,Base!$B$7:$K$119,10,FALSE),0),"")</f>
        <v>0</v>
      </c>
      <c r="AS20" s="206">
        <f>IFERROR(ROUNDUP(VLOOKUP(AS2,Base!$B$7:$K$119,10,FALSE),0),"")</f>
        <v>0</v>
      </c>
      <c r="AT20" s="206">
        <f>IFERROR(ROUNDUP(VLOOKUP(AT2,Base!$B$7:$K$119,10,FALSE),0),"")</f>
        <v>0</v>
      </c>
      <c r="AU20" s="206">
        <f>IFERROR(ROUNDUP(VLOOKUP(AU2,Base!$B$7:$K$119,10,FALSE),0),"")</f>
        <v>97</v>
      </c>
      <c r="AV20" s="206">
        <f>IFERROR(ROUNDUP(VLOOKUP(AV2,Base!$B$7:$K$119,10,FALSE),0),"")</f>
        <v>97</v>
      </c>
      <c r="AW20" s="206">
        <f>IFERROR(ROUNDUP(VLOOKUP(AW2,Base!$B$7:$K$119,10,FALSE),0),"")</f>
        <v>97</v>
      </c>
      <c r="AX20" s="206">
        <f>IFERROR(ROUNDUP(VLOOKUP(AX2,Base!$B$7:$K$119,10,FALSE),0),"")</f>
        <v>97</v>
      </c>
      <c r="AY20" s="206">
        <f>IFERROR(ROUNDUP(VLOOKUP(AY2,Base!$B$7:$K$119,10,FALSE),0),"")</f>
        <v>97</v>
      </c>
      <c r="AZ20" s="206">
        <f>IFERROR(ROUNDUP(VLOOKUP(AZ2,Base!$B$7:$K$119,10,FALSE),0),"")</f>
        <v>97</v>
      </c>
      <c r="BA20" s="206">
        <f>IFERROR(ROUNDUP(VLOOKUP(BA2,Base!$B$7:$K$119,10,FALSE),0),"")</f>
        <v>97</v>
      </c>
      <c r="BB20" s="206">
        <f>IFERROR(ROUNDUP(VLOOKUP(BB2,Base!$B$7:$K$119,10,FALSE),0),"")</f>
        <v>97</v>
      </c>
      <c r="BC20" s="206">
        <f>IFERROR(ROUNDUP(VLOOKUP(BC2,Base!$B$7:$K$119,10,FALSE),0),"")</f>
        <v>97</v>
      </c>
      <c r="BD20" s="206">
        <f>IFERROR(ROUNDUP(VLOOKUP(BD2,Base!$B$7:$K$119,10,FALSE),0),"")</f>
        <v>97</v>
      </c>
      <c r="BE20" s="206">
        <f>IFERROR(ROUNDUP(VLOOKUP(BE2,Base!$B$7:$K$119,10,FALSE),0),"")</f>
        <v>97</v>
      </c>
      <c r="BF20" s="206">
        <f>IFERROR(ROUNDUP(VLOOKUP(BF2,Base!$B$7:$K$119,10,FALSE),0),"")</f>
        <v>97</v>
      </c>
      <c r="BG20" s="206">
        <f>IFERROR(ROUNDUP(VLOOKUP(BG2,Base!$B$7:$K$119,10,FALSE),0),"")</f>
        <v>97</v>
      </c>
      <c r="BH20" s="206">
        <f>IFERROR(ROUNDUP(VLOOKUP(BH2,Base!$B$7:$K$119,10,FALSE),0),"")</f>
        <v>97</v>
      </c>
      <c r="BI20" s="206">
        <f>IFERROR(ROUNDUP(VLOOKUP(BI2,Base!$B$7:$K$119,10,FALSE),0),"")</f>
        <v>97</v>
      </c>
      <c r="BJ20" s="206">
        <f>IFERROR(ROUNDUP(VLOOKUP(BJ2,Base!$B$7:$K$119,10,FALSE),0),"")</f>
        <v>97</v>
      </c>
      <c r="BK20" s="206">
        <f>IFERROR(ROUNDUP(VLOOKUP(BK2,Base!$B$7:$K$119,10,FALSE),0),"")</f>
        <v>97</v>
      </c>
      <c r="BL20" s="206">
        <f>IFERROR(ROUNDUP(VLOOKUP(BL2,Base!$B$7:$K$119,10,FALSE),0),"")</f>
        <v>97</v>
      </c>
      <c r="BM20" s="206">
        <f>IFERROR(ROUNDUP(VLOOKUP(BM2,Base!$B$7:$K$119,10,FALSE),0),"")</f>
        <v>0</v>
      </c>
      <c r="BN20" s="206">
        <f>IFERROR(ROUNDUP(VLOOKUP(BN2,Base!$B$7:$K$119,10,FALSE),0),"")</f>
        <v>0</v>
      </c>
      <c r="BO20" s="206">
        <f>IFERROR(ROUNDUP(VLOOKUP(BO2,Base!$B$7:$K$119,10,FALSE),0),"")</f>
        <v>0</v>
      </c>
      <c r="BP20" s="206">
        <f>IFERROR(ROUNDUP(VLOOKUP(BP2,Base!$B$7:$K$119,10,FALSE),0),"")</f>
        <v>0</v>
      </c>
      <c r="BQ20" s="206">
        <f>IFERROR(ROUNDUP(VLOOKUP(BQ2,Base!$B$7:$K$119,10,FALSE),0),"")</f>
        <v>0</v>
      </c>
      <c r="BR20" s="206">
        <f>IFERROR(ROUNDUP(VLOOKUP(BR2,Base!$B$7:$K$119,10,FALSE),0),"")</f>
        <v>0</v>
      </c>
      <c r="BS20" s="206">
        <f>IFERROR(ROUNDUP(VLOOKUP(BS2,Base!$B$7:$K$119,10,FALSE),0),"")</f>
        <v>0</v>
      </c>
      <c r="BT20" s="206">
        <f>IFERROR(ROUNDUP(VLOOKUP(BT2,Base!$B$7:$K$119,10,FALSE),0),"")</f>
        <v>0</v>
      </c>
      <c r="BU20" s="206">
        <f>IFERROR(ROUNDUP(VLOOKUP(BU2,Base!$B$7:$K$119,10,FALSE),0),"")</f>
        <v>0</v>
      </c>
      <c r="BV20" s="206">
        <f>IFERROR(ROUNDUP(VLOOKUP(BV2,Base!$B$7:$K$119,10,FALSE),0),"")</f>
        <v>0</v>
      </c>
      <c r="BW20" s="206">
        <f>IFERROR(ROUNDUP(VLOOKUP(BW2,Base!$B$7:$K$119,10,FALSE),0),"")</f>
        <v>0</v>
      </c>
      <c r="BX20" s="206">
        <f>IFERROR(ROUNDUP(VLOOKUP(BX2,Base!$B$7:$K$119,10,FALSE),0),"")</f>
        <v>61</v>
      </c>
      <c r="BY20" s="206">
        <f>IFERROR(ROUNDUP(VLOOKUP(BY2,Base!$B$7:$K$119,10,FALSE),0),"")</f>
        <v>61</v>
      </c>
      <c r="BZ20" s="206">
        <f>IFERROR(ROUNDUP(VLOOKUP(BZ2,Base!$B$7:$K$119,10,FALSE),0),"")</f>
        <v>61</v>
      </c>
      <c r="CA20" s="206">
        <f>IFERROR(ROUNDUP(VLOOKUP(CA2,Base!$B$7:$K$119,10,FALSE),0),"")</f>
        <v>61</v>
      </c>
      <c r="CB20" s="206">
        <f>IFERROR(ROUNDUP(VLOOKUP(CB2,Base!$B$7:$K$119,10,FALSE),0),"")</f>
        <v>61</v>
      </c>
      <c r="CC20" s="206">
        <f>IFERROR(ROUNDUP(VLOOKUP(CC2,Base!$B$7:$K$119,10,FALSE),0),"")</f>
        <v>61</v>
      </c>
      <c r="CD20" s="206">
        <f>IFERROR(ROUNDUP(VLOOKUP(CD2,Base!$B$7:$K$119,10,FALSE),0),"")</f>
        <v>61</v>
      </c>
      <c r="CE20" s="206">
        <f>IFERROR(ROUNDUP(VLOOKUP(CE2,Base!$B$7:$K$119,10,FALSE),0),"")</f>
        <v>63</v>
      </c>
      <c r="CF20" s="206">
        <f>IFERROR(ROUNDUP(VLOOKUP(CF2,Base!$B$7:$K$119,10,FALSE),0),"")</f>
        <v>63</v>
      </c>
      <c r="CG20" s="206">
        <f>IFERROR(ROUNDUP(VLOOKUP(CG2,Base!$B$7:$K$119,10,FALSE),0),"")</f>
        <v>61</v>
      </c>
      <c r="CH20" s="206">
        <f>IFERROR(ROUNDUP(VLOOKUP(CH2,Base!$B$7:$K$119,10,FALSE),0),"")</f>
        <v>61</v>
      </c>
      <c r="CI20" s="206">
        <f>IFERROR(ROUNDUP(VLOOKUP(CI2,Base!$B$7:$K$119,10,FALSE),0),"")</f>
        <v>61</v>
      </c>
      <c r="CJ20" s="206">
        <f>IFERROR(ROUNDUP(VLOOKUP(CJ2,Base!$B$7:$K$119,10,FALSE),0),"")</f>
        <v>61</v>
      </c>
      <c r="CK20" s="206">
        <f>IFERROR(ROUNDUP(VLOOKUP(CK2,Base!$B$7:$K$119,10,FALSE),0),"")</f>
        <v>61</v>
      </c>
      <c r="CL20" s="206">
        <f>IFERROR(ROUNDUP(VLOOKUP(CL2,Base!$B$7:$K$119,10,FALSE),0),"")</f>
        <v>61</v>
      </c>
      <c r="CM20" s="206">
        <f>IFERROR(ROUNDUP(VLOOKUP(CM2,Base!$B$7:$K$119,10,FALSE),0),"")</f>
        <v>61</v>
      </c>
      <c r="CN20" s="206">
        <f>IFERROR(ROUNDUP(VLOOKUP(CN2,Base!$B$7:$K$119,10,FALSE),0),"")</f>
        <v>63</v>
      </c>
      <c r="CO20" s="206">
        <f>IFERROR(ROUNDUP(VLOOKUP(CO2,Base!$B$7:$K$119,10,FALSE),0),"")</f>
        <v>63</v>
      </c>
      <c r="CP20" s="206">
        <f>IFERROR(ROUNDUP(VLOOKUP(CP2,Base!$B$7:$K$119,10,FALSE),0),"")</f>
        <v>0</v>
      </c>
      <c r="CQ20" s="206">
        <f>IFERROR(ROUNDUP(VLOOKUP(CQ2,Base!$B$7:$K$119,10,FALSE),0),"")</f>
        <v>0</v>
      </c>
      <c r="CR20" s="206">
        <f>IFERROR(ROUNDUP(VLOOKUP(CR2,Base!$B$7:$K$119,10,FALSE),0),"")</f>
        <v>0</v>
      </c>
      <c r="CS20" s="206">
        <f>IFERROR(ROUNDUP(VLOOKUP(CS2,Base!$B$7:$K$119,10,FALSE),0),"")</f>
        <v>0</v>
      </c>
      <c r="CT20" s="206">
        <f>IFERROR(ROUNDUP(VLOOKUP(CT2,Base!$B$7:$K$119,10,FALSE),0),"")</f>
        <v>0</v>
      </c>
      <c r="CU20" s="206">
        <f>IFERROR(ROUNDUP(VLOOKUP(CU2,Base!$B$7:$K$119,10,FALSE),0),"")</f>
        <v>0</v>
      </c>
      <c r="CV20" s="206">
        <f>IFERROR(ROUNDUP(VLOOKUP(CV2,Base!$B$7:$K$119,10,FALSE),0),"")</f>
        <v>0</v>
      </c>
      <c r="CW20" s="206">
        <f>IFERROR(ROUNDUP(VLOOKUP(CW2,Base!$B$7:$K$119,10,FALSE),0),"")</f>
        <v>0</v>
      </c>
      <c r="CX20" s="206">
        <f>IFERROR(ROUNDUP(VLOOKUP(CX2,Base!$B$7:$K$119,10,FALSE),0),"")</f>
        <v>0</v>
      </c>
      <c r="CY20" s="206">
        <f>IFERROR(ROUNDUP(VLOOKUP(CY2,Base!$B$7:$K$119,10,FALSE),0),"")</f>
        <v>61</v>
      </c>
      <c r="CZ20" s="206">
        <f>IFERROR(ROUNDUP(VLOOKUP(CZ2,Base!$B$7:$K$119,10,FALSE),0),"")</f>
        <v>61</v>
      </c>
      <c r="DA20" s="206">
        <f>IFERROR(ROUNDUP(VLOOKUP(DA2,Base!$B$7:$K$119,10,FALSE),0),"")</f>
        <v>61</v>
      </c>
      <c r="DB20" s="206">
        <f>IFERROR(ROUNDUP(VLOOKUP(DB2,Base!$B$7:$K$119,10,FALSE),0),"")</f>
        <v>61</v>
      </c>
      <c r="DC20" s="206">
        <f>IFERROR(ROUNDUP(VLOOKUP(DC2,Base!$B$7:$K$119,10,FALSE),0),"")</f>
        <v>61</v>
      </c>
      <c r="DD20" s="206">
        <f>IFERROR(ROUNDUP(VLOOKUP(DD2,Base!$B$7:$K$119,10,FALSE),0),"")</f>
        <v>61</v>
      </c>
      <c r="DE20" s="206">
        <f>IFERROR(ROUNDUP(VLOOKUP(DE2,Base!$B$7:$K$119,10,FALSE),0),"")</f>
        <v>61</v>
      </c>
      <c r="DF20" s="206">
        <f>IFERROR(ROUNDUP(VLOOKUP(DF2,Base!$B$7:$K$119,10,FALSE),0),"")</f>
        <v>63</v>
      </c>
      <c r="DG20" s="206">
        <f>IFERROR(ROUNDUP(VLOOKUP(DG2,Base!$B$7:$K$119,10,FALSE),0),"")</f>
        <v>63</v>
      </c>
      <c r="DH20" s="206">
        <f>IFERROR(ROUNDUP(VLOOKUP(DH2,Base!$B$7:$K$119,10,FALSE),0),"")</f>
        <v>61</v>
      </c>
      <c r="DI20" s="206">
        <f>IFERROR(ROUNDUP(VLOOKUP(DI2,Base!$B$7:$K$119,10,FALSE),0),"")</f>
        <v>61</v>
      </c>
      <c r="DJ20" s="206">
        <f>IFERROR(ROUNDUP(VLOOKUP(DJ2,Base!$B$7:$K$119,10,FALSE),0),"")</f>
        <v>61</v>
      </c>
      <c r="DK20" s="206">
        <f>IFERROR(ROUNDUP(VLOOKUP(DK2,Base!$B$7:$K$119,10,FALSE),0),"")</f>
        <v>61</v>
      </c>
      <c r="DL20" s="206">
        <f>IFERROR(ROUNDUP(VLOOKUP(DL2,Base!$B$7:$K$119,10,FALSE),0),"")</f>
        <v>61</v>
      </c>
      <c r="DM20" s="206">
        <f>IFERROR(ROUNDUP(VLOOKUP(DM2,Base!$B$7:$K$119,10,FALSE),0),"")</f>
        <v>61</v>
      </c>
      <c r="DN20" s="206">
        <f>IFERROR(ROUNDUP(VLOOKUP(DN2,Base!$B$7:$K$119,10,FALSE),0),"")</f>
        <v>61</v>
      </c>
      <c r="DO20" s="206">
        <f>IFERROR(ROUNDUP(VLOOKUP(DO2,Base!$B$7:$K$119,10,FALSE),0),"")</f>
        <v>63</v>
      </c>
      <c r="DP20" s="206">
        <f>IFERROR(ROUNDUP(VLOOKUP(DP2,Base!$B$7:$K$119,10,FALSE),0),"")</f>
        <v>63</v>
      </c>
      <c r="DQ20" s="206">
        <f>IFERROR(ROUNDUP(VLOOKUP(DQ2,Base!$B$7:$K$119,10,FALSE),0),"")</f>
        <v>97</v>
      </c>
      <c r="DR20" s="105"/>
      <c r="DS20" s="105"/>
      <c r="DT20" s="105"/>
      <c r="DU20" s="105"/>
      <c r="DV20" s="105"/>
      <c r="DW20" s="105"/>
      <c r="DX20" s="105"/>
      <c r="DY20" s="105"/>
      <c r="DZ20" s="105"/>
      <c r="EA20" s="105"/>
      <c r="EB20" s="105"/>
      <c r="EC20" s="105"/>
      <c r="ED20" s="105"/>
      <c r="EE20" s="105"/>
      <c r="EF20" s="105"/>
      <c r="EG20" s="105"/>
      <c r="EH20" s="105"/>
      <c r="EI20" s="105"/>
      <c r="EJ20" s="105"/>
      <c r="EK20" s="105"/>
      <c r="EL20" s="105"/>
      <c r="EM20" s="105"/>
      <c r="EN20" s="105"/>
      <c r="EO20" s="105"/>
      <c r="EP20" s="105"/>
      <c r="EQ20" s="105"/>
      <c r="ER20" s="105"/>
      <c r="ES20" s="105"/>
      <c r="ET20" s="105"/>
      <c r="EU20" s="105"/>
      <c r="EV20" s="105"/>
      <c r="EW20" s="105"/>
      <c r="EX20" s="105"/>
      <c r="EY20" s="105"/>
      <c r="EZ20" s="105"/>
      <c r="FA20" s="105"/>
      <c r="FB20" s="105"/>
      <c r="FC20" s="105"/>
      <c r="FD20" s="105"/>
      <c r="FE20" s="105"/>
      <c r="FF20" s="105"/>
      <c r="FG20" s="105"/>
      <c r="FH20" s="105"/>
      <c r="FI20" s="105"/>
      <c r="FJ20" s="105"/>
      <c r="FK20" s="105"/>
      <c r="FL20" s="105"/>
      <c r="FM20" s="105"/>
      <c r="FN20" s="105"/>
      <c r="FO20" s="105"/>
      <c r="FP20" s="105"/>
      <c r="FQ20" s="105"/>
      <c r="FR20" s="105"/>
      <c r="FS20" s="105"/>
      <c r="FT20" s="105"/>
      <c r="FU20" s="105"/>
      <c r="FV20" s="105"/>
      <c r="FW20" s="105"/>
      <c r="FX20" s="105"/>
      <c r="FY20" s="105"/>
      <c r="FZ20" s="105"/>
      <c r="GA20" s="105"/>
      <c r="GB20" s="105"/>
      <c r="GC20" s="105"/>
      <c r="GD20" s="105"/>
      <c r="GE20" s="105"/>
      <c r="GF20" s="105"/>
      <c r="GG20" s="105"/>
      <c r="GH20" s="105"/>
      <c r="GI20" s="105"/>
      <c r="GJ20" s="105"/>
      <c r="GK20" s="105"/>
      <c r="GL20" s="105"/>
      <c r="GM20" s="105"/>
      <c r="GN20" s="105"/>
      <c r="GO20" s="105"/>
      <c r="GP20" s="105"/>
      <c r="GQ20" s="105"/>
      <c r="GR20" s="105"/>
      <c r="GS20" s="105"/>
      <c r="GT20" s="105"/>
      <c r="GU20" s="105"/>
      <c r="GV20" s="105"/>
      <c r="GW20" s="105"/>
      <c r="GX20" s="105"/>
      <c r="GY20" s="105"/>
      <c r="GZ20" s="105"/>
      <c r="HA20" s="105"/>
      <c r="HB20" s="105"/>
      <c r="HC20" s="105"/>
      <c r="HD20" s="105"/>
      <c r="HE20" s="105"/>
      <c r="HF20" s="105"/>
      <c r="HG20" s="105"/>
      <c r="HH20" s="105"/>
      <c r="HI20" s="105"/>
      <c r="HJ20" s="105"/>
      <c r="HK20" s="105"/>
      <c r="HL20" s="105"/>
    </row>
    <row r="21" spans="1:221" x14ac:dyDescent="0.2">
      <c r="C21" s="79" t="s">
        <v>434</v>
      </c>
      <c r="G21" s="61" t="s">
        <v>130</v>
      </c>
      <c r="H21" t="s">
        <v>399</v>
      </c>
      <c r="I21" s="206">
        <f>I19+I20</f>
        <v>153</v>
      </c>
      <c r="J21" s="206">
        <f t="shared" ref="J21:BU21" si="12">J19+J20</f>
        <v>153</v>
      </c>
      <c r="K21" s="206">
        <f t="shared" si="12"/>
        <v>153</v>
      </c>
      <c r="L21" s="206">
        <f t="shared" si="12"/>
        <v>153</v>
      </c>
      <c r="M21" s="206">
        <f t="shared" si="12"/>
        <v>153</v>
      </c>
      <c r="N21" s="206">
        <f t="shared" si="12"/>
        <v>153</v>
      </c>
      <c r="O21" s="206">
        <f t="shared" si="12"/>
        <v>153</v>
      </c>
      <c r="P21" s="206">
        <f t="shared" si="12"/>
        <v>153</v>
      </c>
      <c r="Q21" s="206">
        <f t="shared" si="12"/>
        <v>153</v>
      </c>
      <c r="R21" s="206">
        <f t="shared" si="12"/>
        <v>153</v>
      </c>
      <c r="S21" s="206">
        <f t="shared" si="12"/>
        <v>153</v>
      </c>
      <c r="T21" s="206">
        <f t="shared" si="12"/>
        <v>218</v>
      </c>
      <c r="U21" s="206">
        <f t="shared" si="12"/>
        <v>218</v>
      </c>
      <c r="V21" s="206">
        <f t="shared" si="12"/>
        <v>218</v>
      </c>
      <c r="W21" s="206">
        <f t="shared" si="12"/>
        <v>218</v>
      </c>
      <c r="X21" s="206">
        <f t="shared" si="12"/>
        <v>218</v>
      </c>
      <c r="Y21" s="206">
        <f t="shared" si="12"/>
        <v>218</v>
      </c>
      <c r="Z21" s="206">
        <f t="shared" si="12"/>
        <v>218</v>
      </c>
      <c r="AA21" s="206">
        <f t="shared" si="12"/>
        <v>218</v>
      </c>
      <c r="AB21" s="206">
        <f t="shared" si="12"/>
        <v>218</v>
      </c>
      <c r="AC21" s="206">
        <f t="shared" si="12"/>
        <v>218</v>
      </c>
      <c r="AD21" s="206">
        <f t="shared" si="12"/>
        <v>218</v>
      </c>
      <c r="AE21" s="206">
        <f t="shared" si="12"/>
        <v>218</v>
      </c>
      <c r="AF21" s="206">
        <f t="shared" si="12"/>
        <v>218</v>
      </c>
      <c r="AG21" s="206">
        <f t="shared" si="12"/>
        <v>218</v>
      </c>
      <c r="AH21" s="206">
        <f t="shared" si="12"/>
        <v>218</v>
      </c>
      <c r="AI21" s="206">
        <f t="shared" si="12"/>
        <v>218</v>
      </c>
      <c r="AJ21" s="206">
        <f t="shared" si="12"/>
        <v>218</v>
      </c>
      <c r="AK21" s="206">
        <f t="shared" si="12"/>
        <v>218</v>
      </c>
      <c r="AL21" s="206">
        <f t="shared" si="12"/>
        <v>153</v>
      </c>
      <c r="AM21" s="206">
        <f t="shared" si="12"/>
        <v>153</v>
      </c>
      <c r="AN21" s="206">
        <f t="shared" si="12"/>
        <v>153</v>
      </c>
      <c r="AO21" s="206">
        <f t="shared" si="12"/>
        <v>153</v>
      </c>
      <c r="AP21" s="206">
        <f t="shared" si="12"/>
        <v>153</v>
      </c>
      <c r="AQ21" s="206">
        <f t="shared" si="12"/>
        <v>153</v>
      </c>
      <c r="AR21" s="206">
        <f t="shared" si="12"/>
        <v>153</v>
      </c>
      <c r="AS21" s="206">
        <f t="shared" si="12"/>
        <v>153</v>
      </c>
      <c r="AT21" s="206">
        <f t="shared" si="12"/>
        <v>153</v>
      </c>
      <c r="AU21" s="206">
        <f t="shared" si="12"/>
        <v>219</v>
      </c>
      <c r="AV21" s="206">
        <f t="shared" si="12"/>
        <v>218</v>
      </c>
      <c r="AW21" s="206">
        <f t="shared" si="12"/>
        <v>218</v>
      </c>
      <c r="AX21" s="206">
        <f t="shared" si="12"/>
        <v>218</v>
      </c>
      <c r="AY21" s="206">
        <f t="shared" si="12"/>
        <v>218</v>
      </c>
      <c r="AZ21" s="206">
        <f t="shared" si="12"/>
        <v>218</v>
      </c>
      <c r="BA21" s="206">
        <f t="shared" si="12"/>
        <v>218</v>
      </c>
      <c r="BB21" s="206">
        <f t="shared" si="12"/>
        <v>218</v>
      </c>
      <c r="BC21" s="206">
        <f t="shared" si="12"/>
        <v>218</v>
      </c>
      <c r="BD21" s="206">
        <f t="shared" si="12"/>
        <v>218</v>
      </c>
      <c r="BE21" s="206">
        <f t="shared" si="12"/>
        <v>218</v>
      </c>
      <c r="BF21" s="206">
        <f t="shared" si="12"/>
        <v>218</v>
      </c>
      <c r="BG21" s="206">
        <f t="shared" si="12"/>
        <v>218</v>
      </c>
      <c r="BH21" s="206">
        <f t="shared" si="12"/>
        <v>218</v>
      </c>
      <c r="BI21" s="206">
        <f t="shared" si="12"/>
        <v>218</v>
      </c>
      <c r="BJ21" s="206">
        <f t="shared" si="12"/>
        <v>218</v>
      </c>
      <c r="BK21" s="206">
        <f t="shared" si="12"/>
        <v>218</v>
      </c>
      <c r="BL21" s="206">
        <f t="shared" si="12"/>
        <v>218</v>
      </c>
      <c r="BM21" s="206">
        <f t="shared" si="12"/>
        <v>94</v>
      </c>
      <c r="BN21" s="206">
        <f t="shared" si="12"/>
        <v>94</v>
      </c>
      <c r="BO21" s="206">
        <f t="shared" si="12"/>
        <v>94</v>
      </c>
      <c r="BP21" s="206">
        <f t="shared" si="12"/>
        <v>94</v>
      </c>
      <c r="BQ21" s="206">
        <f t="shared" si="12"/>
        <v>94</v>
      </c>
      <c r="BR21" s="206">
        <f t="shared" si="12"/>
        <v>94</v>
      </c>
      <c r="BS21" s="206">
        <f t="shared" si="12"/>
        <v>94</v>
      </c>
      <c r="BT21" s="206">
        <f t="shared" si="12"/>
        <v>94</v>
      </c>
      <c r="BU21" s="206">
        <f t="shared" si="12"/>
        <v>94</v>
      </c>
      <c r="BV21" s="206">
        <f t="shared" ref="BV21:DQ21" si="13">BV19+BV20</f>
        <v>104</v>
      </c>
      <c r="BW21" s="206">
        <f t="shared" si="13"/>
        <v>104</v>
      </c>
      <c r="BX21" s="206">
        <f t="shared" si="13"/>
        <v>138</v>
      </c>
      <c r="BY21" s="206">
        <f t="shared" si="13"/>
        <v>138</v>
      </c>
      <c r="BZ21" s="206">
        <f t="shared" si="13"/>
        <v>138</v>
      </c>
      <c r="CA21" s="206">
        <f t="shared" si="13"/>
        <v>138</v>
      </c>
      <c r="CB21" s="206">
        <f t="shared" si="13"/>
        <v>138</v>
      </c>
      <c r="CC21" s="206">
        <f t="shared" si="13"/>
        <v>138</v>
      </c>
      <c r="CD21" s="206">
        <f t="shared" si="13"/>
        <v>138</v>
      </c>
      <c r="CE21" s="206">
        <f t="shared" si="13"/>
        <v>144</v>
      </c>
      <c r="CF21" s="206">
        <f t="shared" si="13"/>
        <v>144</v>
      </c>
      <c r="CG21" s="206">
        <f t="shared" si="13"/>
        <v>138</v>
      </c>
      <c r="CH21" s="206">
        <f t="shared" si="13"/>
        <v>138</v>
      </c>
      <c r="CI21" s="206">
        <f t="shared" si="13"/>
        <v>138</v>
      </c>
      <c r="CJ21" s="206">
        <f t="shared" si="13"/>
        <v>138</v>
      </c>
      <c r="CK21" s="206">
        <f t="shared" si="13"/>
        <v>138</v>
      </c>
      <c r="CL21" s="206">
        <f t="shared" si="13"/>
        <v>138</v>
      </c>
      <c r="CM21" s="206">
        <f t="shared" si="13"/>
        <v>138</v>
      </c>
      <c r="CN21" s="206">
        <f t="shared" si="13"/>
        <v>144</v>
      </c>
      <c r="CO21" s="206">
        <f t="shared" si="13"/>
        <v>144</v>
      </c>
      <c r="CP21" s="206">
        <f t="shared" si="13"/>
        <v>94</v>
      </c>
      <c r="CQ21" s="206">
        <f t="shared" si="13"/>
        <v>94</v>
      </c>
      <c r="CR21" s="206">
        <f t="shared" si="13"/>
        <v>94</v>
      </c>
      <c r="CS21" s="206">
        <f t="shared" si="13"/>
        <v>94</v>
      </c>
      <c r="CT21" s="206">
        <f t="shared" si="13"/>
        <v>94</v>
      </c>
      <c r="CU21" s="206">
        <f t="shared" si="13"/>
        <v>94</v>
      </c>
      <c r="CV21" s="206">
        <f t="shared" si="13"/>
        <v>94</v>
      </c>
      <c r="CW21" s="206">
        <f t="shared" si="13"/>
        <v>104</v>
      </c>
      <c r="CX21" s="206">
        <f t="shared" si="13"/>
        <v>104</v>
      </c>
      <c r="CY21" s="206">
        <f t="shared" si="13"/>
        <v>138</v>
      </c>
      <c r="CZ21" s="206">
        <f t="shared" si="13"/>
        <v>138</v>
      </c>
      <c r="DA21" s="206">
        <f t="shared" si="13"/>
        <v>138</v>
      </c>
      <c r="DB21" s="206">
        <f t="shared" si="13"/>
        <v>138</v>
      </c>
      <c r="DC21" s="206">
        <f t="shared" si="13"/>
        <v>138</v>
      </c>
      <c r="DD21" s="206">
        <f t="shared" si="13"/>
        <v>138</v>
      </c>
      <c r="DE21" s="206">
        <f t="shared" si="13"/>
        <v>138</v>
      </c>
      <c r="DF21" s="206">
        <f t="shared" si="13"/>
        <v>144</v>
      </c>
      <c r="DG21" s="206">
        <f t="shared" si="13"/>
        <v>144</v>
      </c>
      <c r="DH21" s="206">
        <f t="shared" si="13"/>
        <v>138</v>
      </c>
      <c r="DI21" s="206">
        <f t="shared" si="13"/>
        <v>138</v>
      </c>
      <c r="DJ21" s="206">
        <f t="shared" si="13"/>
        <v>138</v>
      </c>
      <c r="DK21" s="206">
        <f t="shared" si="13"/>
        <v>138</v>
      </c>
      <c r="DL21" s="206">
        <f t="shared" si="13"/>
        <v>138</v>
      </c>
      <c r="DM21" s="206">
        <f t="shared" si="13"/>
        <v>138</v>
      </c>
      <c r="DN21" s="206">
        <f t="shared" si="13"/>
        <v>138</v>
      </c>
      <c r="DO21" s="206">
        <f t="shared" si="13"/>
        <v>144</v>
      </c>
      <c r="DP21" s="206">
        <f t="shared" si="13"/>
        <v>144</v>
      </c>
      <c r="DQ21" s="206">
        <f t="shared" si="13"/>
        <v>227</v>
      </c>
      <c r="DR21" s="105"/>
      <c r="DS21" s="105"/>
      <c r="DT21" s="105"/>
      <c r="DU21" s="105"/>
      <c r="DV21" s="105"/>
      <c r="DW21" s="105"/>
      <c r="DX21" s="105"/>
      <c r="DY21" s="105"/>
      <c r="DZ21" s="105"/>
      <c r="EA21" s="105"/>
      <c r="EB21" s="105"/>
      <c r="EC21" s="105"/>
      <c r="ED21" s="105"/>
      <c r="EE21" s="105"/>
      <c r="EF21" s="105"/>
      <c r="EG21" s="105"/>
      <c r="EH21" s="105"/>
      <c r="EI21" s="105"/>
      <c r="EJ21" s="105"/>
      <c r="EK21" s="105"/>
      <c r="EL21" s="105"/>
      <c r="EM21" s="105"/>
      <c r="EN21" s="105"/>
      <c r="EO21" s="105"/>
      <c r="EP21" s="105"/>
      <c r="EQ21" s="105"/>
      <c r="ER21" s="105"/>
      <c r="ES21" s="105"/>
      <c r="ET21" s="105"/>
      <c r="EU21" s="105"/>
      <c r="EV21" s="105"/>
      <c r="EW21" s="105"/>
      <c r="EX21" s="105"/>
      <c r="EY21" s="105"/>
      <c r="EZ21" s="105"/>
      <c r="FA21" s="105"/>
      <c r="FB21" s="105"/>
      <c r="FC21" s="105"/>
      <c r="FD21" s="105"/>
      <c r="FE21" s="105"/>
      <c r="FF21" s="105"/>
      <c r="FG21" s="105"/>
      <c r="FH21" s="105"/>
      <c r="FI21" s="105"/>
      <c r="FJ21" s="105"/>
      <c r="FK21" s="105"/>
      <c r="FL21" s="105"/>
      <c r="FM21" s="105"/>
      <c r="FN21" s="105"/>
      <c r="FO21" s="105"/>
      <c r="FP21" s="105"/>
      <c r="FQ21" s="105"/>
      <c r="FR21" s="105"/>
      <c r="FS21" s="105"/>
      <c r="FT21" s="105"/>
      <c r="FU21" s="105"/>
      <c r="FV21" s="105"/>
      <c r="FW21" s="105"/>
      <c r="FX21" s="105"/>
      <c r="FY21" s="105"/>
      <c r="FZ21" s="105"/>
      <c r="GA21" s="105"/>
      <c r="GB21" s="105"/>
      <c r="GC21" s="105"/>
      <c r="GD21" s="105"/>
      <c r="GE21" s="105"/>
      <c r="GF21" s="105"/>
      <c r="GG21" s="105"/>
      <c r="GH21" s="105"/>
      <c r="GI21" s="105"/>
      <c r="GJ21" s="105"/>
      <c r="GK21" s="105"/>
      <c r="GL21" s="105"/>
      <c r="GM21" s="105"/>
      <c r="GN21" s="105"/>
      <c r="GO21" s="105"/>
      <c r="GP21" s="105"/>
      <c r="GQ21" s="105"/>
      <c r="GR21" s="105"/>
      <c r="GS21" s="105"/>
      <c r="GT21" s="105"/>
      <c r="GU21" s="105"/>
      <c r="GV21" s="105"/>
      <c r="GW21" s="105"/>
      <c r="GX21" s="105"/>
      <c r="GY21" s="105"/>
      <c r="GZ21" s="105"/>
      <c r="HA21" s="105"/>
      <c r="HB21" s="105"/>
      <c r="HC21" s="105"/>
      <c r="HD21" s="105"/>
      <c r="HE21" s="105"/>
      <c r="HF21" s="105"/>
      <c r="HG21" s="105"/>
      <c r="HH21" s="105"/>
      <c r="HI21" s="105"/>
      <c r="HJ21" s="105"/>
      <c r="HK21" s="105"/>
      <c r="HL21" s="105"/>
    </row>
    <row r="22" spans="1:221" x14ac:dyDescent="0.2">
      <c r="C22" s="79" t="s">
        <v>438</v>
      </c>
      <c r="G22" s="61" t="s">
        <v>198</v>
      </c>
      <c r="H22" t="s">
        <v>199</v>
      </c>
      <c r="I22" s="213">
        <f>VLOOKUP(I21,'Cálculos auxiliares'!$D$258:$G$265,2,FALSE)</f>
        <v>1.9638476973201957</v>
      </c>
      <c r="J22" s="213">
        <f>VLOOKUP(J21,'Cálculos auxiliares'!$D$258:$G$265,2,FALSE)</f>
        <v>1.9638476973201957</v>
      </c>
      <c r="K22" s="213">
        <f>VLOOKUP(K21,'Cálculos auxiliares'!$D$258:$G$265,2,FALSE)</f>
        <v>1.9638476973201957</v>
      </c>
      <c r="L22" s="213">
        <f>VLOOKUP(L21,'Cálculos auxiliares'!$D$258:$G$265,2,FALSE)</f>
        <v>1.9638476973201957</v>
      </c>
      <c r="M22" s="213">
        <f>VLOOKUP(M21,'Cálculos auxiliares'!$D$258:$G$265,2,FALSE)</f>
        <v>1.9638476973201957</v>
      </c>
      <c r="N22" s="213">
        <f>VLOOKUP(N21,'Cálculos auxiliares'!$D$258:$G$265,2,FALSE)</f>
        <v>1.9638476973201957</v>
      </c>
      <c r="O22" s="213">
        <f>VLOOKUP(O21,'Cálculos auxiliares'!$D$258:$G$265,2,FALSE)</f>
        <v>1.9638476973201957</v>
      </c>
      <c r="P22" s="213">
        <f>VLOOKUP(P21,'Cálculos auxiliares'!$D$258:$G$265,2,FALSE)</f>
        <v>1.9638476973201957</v>
      </c>
      <c r="Q22" s="213">
        <f>VLOOKUP(Q21,'Cálculos auxiliares'!$D$258:$G$265,2,FALSE)</f>
        <v>1.9638476973201957</v>
      </c>
      <c r="R22" s="213">
        <f>VLOOKUP(R21,'Cálculos auxiliares'!$D$258:$G$265,2,FALSE)</f>
        <v>1.9638476973201957</v>
      </c>
      <c r="S22" s="213">
        <f>VLOOKUP(S21,'Cálculos auxiliares'!$D$258:$G$265,2,FALSE)</f>
        <v>1.9638476973201957</v>
      </c>
      <c r="T22" s="213">
        <f>VLOOKUP(T21,'Cálculos auxiliares'!$D$258:$G$265,2,FALSE)</f>
        <v>1.5742286514902193</v>
      </c>
      <c r="U22" s="213">
        <f>VLOOKUP(U21,'Cálculos auxiliares'!$D$258:$G$265,2,FALSE)</f>
        <v>1.5742286514902193</v>
      </c>
      <c r="V22" s="213">
        <f>VLOOKUP(V21,'Cálculos auxiliares'!$D$258:$G$265,2,FALSE)</f>
        <v>1.5742286514902193</v>
      </c>
      <c r="W22" s="213">
        <f>VLOOKUP(W21,'Cálculos auxiliares'!$D$258:$G$265,2,FALSE)</f>
        <v>1.5742286514902193</v>
      </c>
      <c r="X22" s="213">
        <f>VLOOKUP(X21,'Cálculos auxiliares'!$D$258:$G$265,2,FALSE)</f>
        <v>1.5742286514902193</v>
      </c>
      <c r="Y22" s="213">
        <f>VLOOKUP(Y21,'Cálculos auxiliares'!$D$258:$G$265,2,FALSE)</f>
        <v>1.5742286514902193</v>
      </c>
      <c r="Z22" s="213">
        <f>VLOOKUP(Z21,'Cálculos auxiliares'!$D$258:$G$265,2,FALSE)</f>
        <v>1.5742286514902193</v>
      </c>
      <c r="AA22" s="213">
        <f>VLOOKUP(AA21,'Cálculos auxiliares'!$D$258:$G$265,2,FALSE)</f>
        <v>1.5742286514902193</v>
      </c>
      <c r="AB22" s="213">
        <f>VLOOKUP(AB21,'Cálculos auxiliares'!$D$258:$G$265,2,FALSE)</f>
        <v>1.5742286514902193</v>
      </c>
      <c r="AC22" s="213">
        <f>VLOOKUP(AC21,'Cálculos auxiliares'!$D$258:$G$265,2,FALSE)</f>
        <v>1.5742286514902193</v>
      </c>
      <c r="AD22" s="213">
        <f>VLOOKUP(AD21,'Cálculos auxiliares'!$D$258:$G$265,2,FALSE)</f>
        <v>1.5742286514902193</v>
      </c>
      <c r="AE22" s="213">
        <f>VLOOKUP(AE21,'Cálculos auxiliares'!$D$258:$G$265,2,FALSE)</f>
        <v>1.5742286514902193</v>
      </c>
      <c r="AF22" s="213">
        <f>VLOOKUP(AF21,'Cálculos auxiliares'!$D$258:$G$265,2,FALSE)</f>
        <v>1.5742286514902193</v>
      </c>
      <c r="AG22" s="213">
        <f>VLOOKUP(AG21,'Cálculos auxiliares'!$D$258:$G$265,2,FALSE)</f>
        <v>1.5742286514902193</v>
      </c>
      <c r="AH22" s="213">
        <f>VLOOKUP(AH21,'Cálculos auxiliares'!$D$258:$G$265,2,FALSE)</f>
        <v>1.5742286514902193</v>
      </c>
      <c r="AI22" s="213">
        <f>VLOOKUP(AI21,'Cálculos auxiliares'!$D$258:$G$265,2,FALSE)</f>
        <v>1.5742286514902193</v>
      </c>
      <c r="AJ22" s="213">
        <f>VLOOKUP(AJ21,'Cálculos auxiliares'!$D$258:$G$265,2,FALSE)</f>
        <v>1.5742286514902193</v>
      </c>
      <c r="AK22" s="213">
        <f>VLOOKUP(AK21,'Cálculos auxiliares'!$D$258:$G$265,2,FALSE)</f>
        <v>1.5742286514902193</v>
      </c>
      <c r="AL22" s="213">
        <f>VLOOKUP(AL21,'Cálculos auxiliares'!$D$258:$G$265,2,FALSE)</f>
        <v>1.9638476973201957</v>
      </c>
      <c r="AM22" s="213">
        <f>VLOOKUP(AM21,'Cálculos auxiliares'!$D$258:$G$265,2,FALSE)</f>
        <v>1.9638476973201957</v>
      </c>
      <c r="AN22" s="213">
        <f>VLOOKUP(AN21,'Cálculos auxiliares'!$D$258:$G$265,2,FALSE)</f>
        <v>1.9638476973201957</v>
      </c>
      <c r="AO22" s="213">
        <f>VLOOKUP(AO21,'Cálculos auxiliares'!$D$258:$G$265,2,FALSE)</f>
        <v>1.9638476973201957</v>
      </c>
      <c r="AP22" s="213">
        <f>VLOOKUP(AP21,'Cálculos auxiliares'!$D$258:$G$265,2,FALSE)</f>
        <v>1.9638476973201957</v>
      </c>
      <c r="AQ22" s="213">
        <f>VLOOKUP(AQ21,'Cálculos auxiliares'!$D$258:$G$265,2,FALSE)</f>
        <v>1.9638476973201957</v>
      </c>
      <c r="AR22" s="213">
        <f>VLOOKUP(AR21,'Cálculos auxiliares'!$D$258:$G$265,2,FALSE)</f>
        <v>1.9638476973201957</v>
      </c>
      <c r="AS22" s="213">
        <f>VLOOKUP(AS21,'Cálculos auxiliares'!$D$258:$G$265,2,FALSE)</f>
        <v>1.9638476973201957</v>
      </c>
      <c r="AT22" s="213">
        <f>VLOOKUP(AT21,'Cálculos auxiliares'!$D$258:$G$265,2,FALSE)</f>
        <v>1.9638476973201957</v>
      </c>
      <c r="AU22" s="213">
        <f>VLOOKUP(AU21,'Cálculos auxiliares'!$D$258:$G$265,2,FALSE)</f>
        <v>1.5697350868207103</v>
      </c>
      <c r="AV22" s="213">
        <f>VLOOKUP(AV21,'Cálculos auxiliares'!$D$258:$G$265,2,FALSE)</f>
        <v>1.5742286514902193</v>
      </c>
      <c r="AW22" s="213">
        <f>VLOOKUP(AW21,'Cálculos auxiliares'!$D$258:$G$265,2,FALSE)</f>
        <v>1.5742286514902193</v>
      </c>
      <c r="AX22" s="213">
        <f>VLOOKUP(AX21,'Cálculos auxiliares'!$D$258:$G$265,2,FALSE)</f>
        <v>1.5742286514902193</v>
      </c>
      <c r="AY22" s="213">
        <f>VLOOKUP(AY21,'Cálculos auxiliares'!$D$258:$G$265,2,FALSE)</f>
        <v>1.5742286514902193</v>
      </c>
      <c r="AZ22" s="213">
        <f>VLOOKUP(AZ21,'Cálculos auxiliares'!$D$258:$G$265,2,FALSE)</f>
        <v>1.5742286514902193</v>
      </c>
      <c r="BA22" s="213">
        <f>VLOOKUP(BA21,'Cálculos auxiliares'!$D$258:$G$265,2,FALSE)</f>
        <v>1.5742286514902193</v>
      </c>
      <c r="BB22" s="213">
        <f>VLOOKUP(BB21,'Cálculos auxiliares'!$D$258:$G$265,2,FALSE)</f>
        <v>1.5742286514902193</v>
      </c>
      <c r="BC22" s="213">
        <f>VLOOKUP(BC21,'Cálculos auxiliares'!$D$258:$G$265,2,FALSE)</f>
        <v>1.5742286514902193</v>
      </c>
      <c r="BD22" s="213">
        <f>VLOOKUP(BD21,'Cálculos auxiliares'!$D$258:$G$265,2,FALSE)</f>
        <v>1.5742286514902193</v>
      </c>
      <c r="BE22" s="213">
        <f>VLOOKUP(BE21,'Cálculos auxiliares'!$D$258:$G$265,2,FALSE)</f>
        <v>1.5742286514902193</v>
      </c>
      <c r="BF22" s="213">
        <f>VLOOKUP(BF21,'Cálculos auxiliares'!$D$258:$G$265,2,FALSE)</f>
        <v>1.5742286514902193</v>
      </c>
      <c r="BG22" s="213">
        <f>VLOOKUP(BG21,'Cálculos auxiliares'!$D$258:$G$265,2,FALSE)</f>
        <v>1.5742286514902193</v>
      </c>
      <c r="BH22" s="213">
        <f>VLOOKUP(BH21,'Cálculos auxiliares'!$D$258:$G$265,2,FALSE)</f>
        <v>1.5742286514902193</v>
      </c>
      <c r="BI22" s="213">
        <f>VLOOKUP(BI21,'Cálculos auxiliares'!$D$258:$G$265,2,FALSE)</f>
        <v>1.5742286514902193</v>
      </c>
      <c r="BJ22" s="213">
        <f>VLOOKUP(BJ21,'Cálculos auxiliares'!$D$258:$G$265,2,FALSE)</f>
        <v>1.5742286514902193</v>
      </c>
      <c r="BK22" s="213">
        <f>VLOOKUP(BK21,'Cálculos auxiliares'!$D$258:$G$265,2,FALSE)</f>
        <v>1.5742286514902193</v>
      </c>
      <c r="BL22" s="213">
        <f>VLOOKUP(BL21,'Cálculos auxiliares'!$D$258:$G$265,2,FALSE)</f>
        <v>1.5742286514902193</v>
      </c>
      <c r="BM22" s="213">
        <f>VLOOKUP(BM21,'Cálculos auxiliares'!$D$258:$G$265,2,FALSE)</f>
        <v>2.6622456175341389</v>
      </c>
      <c r="BN22" s="213">
        <f>VLOOKUP(BN21,'Cálculos auxiliares'!$D$258:$G$265,2,FALSE)</f>
        <v>2.6622456175341389</v>
      </c>
      <c r="BO22" s="213">
        <f>VLOOKUP(BO21,'Cálculos auxiliares'!$D$258:$G$265,2,FALSE)</f>
        <v>2.6622456175341389</v>
      </c>
      <c r="BP22" s="213">
        <f>VLOOKUP(BP21,'Cálculos auxiliares'!$D$258:$G$265,2,FALSE)</f>
        <v>2.6622456175341389</v>
      </c>
      <c r="BQ22" s="213">
        <f>VLOOKUP(BQ21,'Cálculos auxiliares'!$D$258:$G$265,2,FALSE)</f>
        <v>2.6622456175341389</v>
      </c>
      <c r="BR22" s="213">
        <f>VLOOKUP(BR21,'Cálculos auxiliares'!$D$258:$G$265,2,FALSE)</f>
        <v>2.6622456175341389</v>
      </c>
      <c r="BS22" s="213">
        <f>VLOOKUP(BS21,'Cálculos auxiliares'!$D$258:$G$265,2,FALSE)</f>
        <v>2.6622456175341389</v>
      </c>
      <c r="BT22" s="213">
        <f>VLOOKUP(BT21,'Cálculos auxiliares'!$D$258:$G$265,2,FALSE)</f>
        <v>2.6622456175341389</v>
      </c>
      <c r="BU22" s="213">
        <f>VLOOKUP(BU21,'Cálculos auxiliares'!$D$258:$G$265,2,FALSE)</f>
        <v>2.6622456175341389</v>
      </c>
      <c r="BV22" s="213">
        <f>VLOOKUP(BV21,'Cálculos auxiliares'!$D$258:$G$265,2,FALSE)</f>
        <v>2.4993393702490576</v>
      </c>
      <c r="BW22" s="213">
        <f>VLOOKUP(BW21,'Cálculos auxiliares'!$D$258:$G$265,2,FALSE)</f>
        <v>2.4993393702490576</v>
      </c>
      <c r="BX22" s="213">
        <f>VLOOKUP(BX21,'Cálculos auxiliares'!$D$258:$G$265,2,FALSE)</f>
        <v>2.0945807524030502</v>
      </c>
      <c r="BY22" s="213">
        <f>VLOOKUP(BY21,'Cálculos auxiliares'!$D$258:$G$265,2,FALSE)</f>
        <v>2.0945807524030502</v>
      </c>
      <c r="BZ22" s="213">
        <f>VLOOKUP(BZ21,'Cálculos auxiliares'!$D$258:$G$265,2,FALSE)</f>
        <v>2.0945807524030502</v>
      </c>
      <c r="CA22" s="213">
        <f>VLOOKUP(CA21,'Cálculos auxiliares'!$D$258:$G$265,2,FALSE)</f>
        <v>2.0945807524030502</v>
      </c>
      <c r="CB22" s="213">
        <f>VLOOKUP(CB21,'Cálculos auxiliares'!$D$258:$G$265,2,FALSE)</f>
        <v>2.0945807524030502</v>
      </c>
      <c r="CC22" s="213">
        <f>VLOOKUP(CC21,'Cálculos auxiliares'!$D$258:$G$265,2,FALSE)</f>
        <v>2.0945807524030502</v>
      </c>
      <c r="CD22" s="213">
        <f>VLOOKUP(CD21,'Cálculos auxiliares'!$D$258:$G$265,2,FALSE)</f>
        <v>2.0945807524030502</v>
      </c>
      <c r="CE22" s="213">
        <f>VLOOKUP(CE21,'Cálculos auxiliares'!$D$258:$G$265,2,FALSE)</f>
        <v>2.0396355528791261</v>
      </c>
      <c r="CF22" s="213">
        <f>VLOOKUP(CF21,'Cálculos auxiliares'!$D$258:$G$265,2,FALSE)</f>
        <v>2.0396355528791261</v>
      </c>
      <c r="CG22" s="213">
        <f>VLOOKUP(CG21,'Cálculos auxiliares'!$D$258:$G$265,2,FALSE)</f>
        <v>2.0945807524030502</v>
      </c>
      <c r="CH22" s="213">
        <f>VLOOKUP(CH21,'Cálculos auxiliares'!$D$258:$G$265,2,FALSE)</f>
        <v>2.0945807524030502</v>
      </c>
      <c r="CI22" s="213">
        <f>VLOOKUP(CI21,'Cálculos auxiliares'!$D$258:$G$265,2,FALSE)</f>
        <v>2.0945807524030502</v>
      </c>
      <c r="CJ22" s="213">
        <f>VLOOKUP(CJ21,'Cálculos auxiliares'!$D$258:$G$265,2,FALSE)</f>
        <v>2.0945807524030502</v>
      </c>
      <c r="CK22" s="213">
        <f>VLOOKUP(CK21,'Cálculos auxiliares'!$D$258:$G$265,2,FALSE)</f>
        <v>2.0945807524030502</v>
      </c>
      <c r="CL22" s="213">
        <f>VLOOKUP(CL21,'Cálculos auxiliares'!$D$258:$G$265,2,FALSE)</f>
        <v>2.0945807524030502</v>
      </c>
      <c r="CM22" s="213">
        <f>VLOOKUP(CM21,'Cálculos auxiliares'!$D$258:$G$265,2,FALSE)</f>
        <v>2.0945807524030502</v>
      </c>
      <c r="CN22" s="213">
        <f>VLOOKUP(CN21,'Cálculos auxiliares'!$D$258:$G$265,2,FALSE)</f>
        <v>2.0396355528791261</v>
      </c>
      <c r="CO22" s="213">
        <f>VLOOKUP(CO21,'Cálculos auxiliares'!$D$258:$G$265,2,FALSE)</f>
        <v>2.0396355528791261</v>
      </c>
      <c r="CP22" s="213">
        <f>VLOOKUP(CP21,'Cálculos auxiliares'!$D$258:$G$265,2,FALSE)</f>
        <v>2.6622456175341389</v>
      </c>
      <c r="CQ22" s="213">
        <f>VLOOKUP(CQ21,'Cálculos auxiliares'!$D$258:$G$265,2,FALSE)</f>
        <v>2.6622456175341389</v>
      </c>
      <c r="CR22" s="213">
        <f>VLOOKUP(CR21,'Cálculos auxiliares'!$D$258:$G$265,2,FALSE)</f>
        <v>2.6622456175341389</v>
      </c>
      <c r="CS22" s="213">
        <f>VLOOKUP(CS21,'Cálculos auxiliares'!$D$258:$G$265,2,FALSE)</f>
        <v>2.6622456175341389</v>
      </c>
      <c r="CT22" s="213">
        <f>VLOOKUP(CT21,'Cálculos auxiliares'!$D$258:$G$265,2,FALSE)</f>
        <v>2.6622456175341389</v>
      </c>
      <c r="CU22" s="213">
        <f>VLOOKUP(CU21,'Cálculos auxiliares'!$D$258:$G$265,2,FALSE)</f>
        <v>2.6622456175341389</v>
      </c>
      <c r="CV22" s="213">
        <f>VLOOKUP(CV21,'Cálculos auxiliares'!$D$258:$G$265,2,FALSE)</f>
        <v>2.6622456175341389</v>
      </c>
      <c r="CW22" s="213">
        <f>VLOOKUP(CW21,'Cálculos auxiliares'!$D$258:$G$265,2,FALSE)</f>
        <v>2.4993393702490576</v>
      </c>
      <c r="CX22" s="213">
        <f>VLOOKUP(CX21,'Cálculos auxiliares'!$D$258:$G$265,2,FALSE)</f>
        <v>2.4993393702490576</v>
      </c>
      <c r="CY22" s="213">
        <f>VLOOKUP(CY21,'Cálculos auxiliares'!$D$258:$G$265,2,FALSE)</f>
        <v>2.0945807524030502</v>
      </c>
      <c r="CZ22" s="213">
        <f>VLOOKUP(CZ21,'Cálculos auxiliares'!$D$258:$G$265,2,FALSE)</f>
        <v>2.0945807524030502</v>
      </c>
      <c r="DA22" s="213">
        <f>VLOOKUP(DA21,'Cálculos auxiliares'!$D$258:$G$265,2,FALSE)</f>
        <v>2.0945807524030502</v>
      </c>
      <c r="DB22" s="213">
        <f>VLOOKUP(DB21,'Cálculos auxiliares'!$D$258:$G$265,2,FALSE)</f>
        <v>2.0945807524030502</v>
      </c>
      <c r="DC22" s="213">
        <f>VLOOKUP(DC21,'Cálculos auxiliares'!$D$258:$G$265,2,FALSE)</f>
        <v>2.0945807524030502</v>
      </c>
      <c r="DD22" s="213">
        <f>VLOOKUP(DD21,'Cálculos auxiliares'!$D$258:$G$265,2,FALSE)</f>
        <v>2.0945807524030502</v>
      </c>
      <c r="DE22" s="213">
        <f>VLOOKUP(DE21,'Cálculos auxiliares'!$D$258:$G$265,2,FALSE)</f>
        <v>2.0945807524030502</v>
      </c>
      <c r="DF22" s="213">
        <f>VLOOKUP(DF21,'Cálculos auxiliares'!$D$258:$G$265,2,FALSE)</f>
        <v>2.0396355528791261</v>
      </c>
      <c r="DG22" s="213">
        <f>VLOOKUP(DG21,'Cálculos auxiliares'!$D$258:$G$265,2,FALSE)</f>
        <v>2.0396355528791261</v>
      </c>
      <c r="DH22" s="213">
        <f>VLOOKUP(DH21,'Cálculos auxiliares'!$D$258:$G$265,2,FALSE)</f>
        <v>2.0945807524030502</v>
      </c>
      <c r="DI22" s="213">
        <f>VLOOKUP(DI21,'Cálculos auxiliares'!$D$258:$G$265,2,FALSE)</f>
        <v>2.0945807524030502</v>
      </c>
      <c r="DJ22" s="213">
        <f>VLOOKUP(DJ21,'Cálculos auxiliares'!$D$258:$G$265,2,FALSE)</f>
        <v>2.0945807524030502</v>
      </c>
      <c r="DK22" s="213">
        <f>VLOOKUP(DK21,'Cálculos auxiliares'!$D$258:$G$265,2,FALSE)</f>
        <v>2.0945807524030502</v>
      </c>
      <c r="DL22" s="213">
        <f>VLOOKUP(DL21,'Cálculos auxiliares'!$D$258:$G$265,2,FALSE)</f>
        <v>2.0945807524030502</v>
      </c>
      <c r="DM22" s="213">
        <f>VLOOKUP(DM21,'Cálculos auxiliares'!$D$258:$G$265,2,FALSE)</f>
        <v>2.0945807524030502</v>
      </c>
      <c r="DN22" s="213">
        <f>VLOOKUP(DN21,'Cálculos auxiliares'!$D$258:$G$265,2,FALSE)</f>
        <v>2.0945807524030502</v>
      </c>
      <c r="DO22" s="213">
        <f>VLOOKUP(DO21,'Cálculos auxiliares'!$D$258:$G$265,2,FALSE)</f>
        <v>2.0396355528791261</v>
      </c>
      <c r="DP22" s="213">
        <f>VLOOKUP(DP21,'Cálculos auxiliares'!$D$258:$G$265,2,FALSE)</f>
        <v>2.0396355528791261</v>
      </c>
      <c r="DQ22" s="213">
        <f>VLOOKUP(DQ21,'Cálculos auxiliares'!$D$258:$G$265,2,FALSE)</f>
        <v>1.534949806355558</v>
      </c>
      <c r="DR22" s="105"/>
      <c r="DS22" s="105"/>
      <c r="DT22" s="105"/>
      <c r="DU22" s="105"/>
      <c r="DV22" s="105"/>
      <c r="DW22" s="105"/>
      <c r="DX22" s="105"/>
      <c r="DY22" s="105"/>
      <c r="DZ22" s="105"/>
      <c r="EA22" s="105"/>
      <c r="EB22" s="105"/>
      <c r="EC22" s="105"/>
      <c r="ED22" s="105"/>
      <c r="EE22" s="105"/>
      <c r="EF22" s="105"/>
      <c r="EG22" s="105"/>
      <c r="EH22" s="105"/>
      <c r="EI22" s="105"/>
      <c r="EJ22" s="105"/>
      <c r="EK22" s="105"/>
      <c r="EL22" s="105"/>
      <c r="EM22" s="105"/>
      <c r="EN22" s="105"/>
      <c r="EO22" s="105"/>
      <c r="EP22" s="105"/>
      <c r="EQ22" s="105"/>
      <c r="ER22" s="105"/>
      <c r="ES22" s="105"/>
      <c r="ET22" s="105"/>
      <c r="EU22" s="105"/>
      <c r="EV22" s="105"/>
      <c r="EW22" s="105"/>
      <c r="EX22" s="105"/>
      <c r="EY22" s="105"/>
      <c r="EZ22" s="105"/>
      <c r="FA22" s="105"/>
      <c r="FB22" s="105"/>
      <c r="FC22" s="105"/>
      <c r="FD22" s="105"/>
      <c r="FE22" s="105"/>
      <c r="FF22" s="105"/>
      <c r="FG22" s="105"/>
      <c r="FH22" s="105"/>
      <c r="FI22" s="105"/>
      <c r="FJ22" s="105"/>
      <c r="FK22" s="105"/>
      <c r="FL22" s="105"/>
      <c r="FM22" s="105"/>
      <c r="FN22" s="105"/>
      <c r="FO22" s="105"/>
      <c r="FP22" s="105"/>
      <c r="FQ22" s="105"/>
      <c r="FR22" s="105"/>
      <c r="FS22" s="105"/>
      <c r="FT22" s="105"/>
      <c r="FU22" s="105"/>
      <c r="FV22" s="105"/>
      <c r="FW22" s="105"/>
      <c r="FX22" s="105"/>
      <c r="FY22" s="105"/>
      <c r="FZ22" s="105"/>
      <c r="GA22" s="105"/>
      <c r="GB22" s="105"/>
      <c r="GC22" s="105"/>
      <c r="GD22" s="105"/>
      <c r="GE22" s="105"/>
      <c r="GF22" s="105"/>
      <c r="GG22" s="105"/>
      <c r="GH22" s="105"/>
      <c r="GI22" s="105"/>
      <c r="GJ22" s="105"/>
      <c r="GK22" s="105"/>
      <c r="GL22" s="105"/>
      <c r="GM22" s="105"/>
      <c r="GN22" s="105"/>
      <c r="GO22" s="105"/>
      <c r="GP22" s="105"/>
      <c r="GQ22" s="105"/>
      <c r="GR22" s="105"/>
      <c r="GS22" s="105"/>
      <c r="GT22" s="105"/>
      <c r="GU22" s="105"/>
      <c r="GV22" s="105"/>
      <c r="GW22" s="105"/>
      <c r="GX22" s="105"/>
      <c r="GY22" s="105"/>
      <c r="GZ22" s="105"/>
      <c r="HA22" s="105"/>
      <c r="HB22" s="105"/>
      <c r="HC22" s="105"/>
      <c r="HD22" s="105"/>
      <c r="HE22" s="105"/>
      <c r="HF22" s="105"/>
      <c r="HG22" s="105"/>
      <c r="HH22" s="105"/>
      <c r="HI22" s="105"/>
      <c r="HJ22" s="105"/>
      <c r="HK22" s="105"/>
      <c r="HL22" s="105"/>
    </row>
    <row r="23" spans="1:221" x14ac:dyDescent="0.2">
      <c r="C23" s="79"/>
      <c r="G23" s="61"/>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1"/>
      <c r="DS23" s="105"/>
      <c r="DT23" s="105"/>
      <c r="DU23" s="105"/>
      <c r="DV23" s="105"/>
      <c r="DW23" s="105"/>
      <c r="DX23" s="105"/>
      <c r="DY23" s="105"/>
      <c r="DZ23" s="105"/>
      <c r="EA23" s="105"/>
      <c r="EB23" s="105"/>
      <c r="EC23" s="105"/>
      <c r="ED23" s="105"/>
      <c r="EE23" s="105"/>
      <c r="EF23" s="105"/>
      <c r="EG23" s="105"/>
      <c r="EH23" s="105"/>
      <c r="EI23" s="105"/>
      <c r="EJ23" s="105"/>
      <c r="EK23" s="105"/>
      <c r="EL23" s="105"/>
      <c r="EM23" s="105"/>
      <c r="EN23" s="105"/>
      <c r="EO23" s="105"/>
      <c r="EP23" s="105"/>
      <c r="EQ23" s="105"/>
      <c r="ER23" s="105"/>
      <c r="ES23" s="105"/>
      <c r="ET23" s="105"/>
      <c r="EU23" s="105"/>
      <c r="EV23" s="105"/>
      <c r="EW23" s="105"/>
      <c r="EX23" s="105"/>
      <c r="EY23" s="105"/>
      <c r="EZ23" s="105"/>
      <c r="FA23" s="105"/>
      <c r="FB23" s="105"/>
      <c r="FC23" s="105"/>
      <c r="FD23" s="105"/>
      <c r="FE23" s="105"/>
      <c r="FF23" s="105"/>
      <c r="FG23" s="105"/>
      <c r="FH23" s="105"/>
      <c r="FI23" s="105"/>
      <c r="FJ23" s="105"/>
      <c r="FK23" s="105"/>
      <c r="FL23" s="105"/>
      <c r="FM23" s="105"/>
      <c r="FN23" s="105"/>
      <c r="FO23" s="105"/>
      <c r="FP23" s="105"/>
      <c r="FQ23" s="105"/>
      <c r="FR23" s="105"/>
      <c r="FS23" s="105"/>
      <c r="FT23" s="105"/>
      <c r="FU23" s="105"/>
      <c r="FV23" s="105"/>
      <c r="FW23" s="105"/>
      <c r="FX23" s="105"/>
      <c r="FY23" s="105"/>
      <c r="FZ23" s="105"/>
      <c r="GA23" s="105"/>
      <c r="GB23" s="105"/>
      <c r="GC23" s="105"/>
      <c r="GD23" s="105"/>
      <c r="GE23" s="105"/>
      <c r="GF23" s="105"/>
      <c r="GG23" s="105"/>
      <c r="GH23" s="105"/>
      <c r="GI23" s="105"/>
      <c r="GJ23" s="105"/>
      <c r="GK23" s="105"/>
      <c r="GL23" s="105"/>
      <c r="GM23" s="105"/>
      <c r="GN23" s="105"/>
      <c r="GO23" s="105"/>
      <c r="GP23" s="105"/>
      <c r="GQ23" s="105"/>
      <c r="GR23" s="105"/>
      <c r="GS23" s="105"/>
      <c r="GT23" s="105"/>
      <c r="GU23" s="105"/>
      <c r="GV23" s="105"/>
      <c r="GW23" s="105"/>
      <c r="GX23" s="105"/>
      <c r="GY23" s="105"/>
      <c r="GZ23" s="105"/>
      <c r="HA23" s="105"/>
      <c r="HB23" s="105"/>
      <c r="HC23" s="105"/>
      <c r="HD23" s="105"/>
      <c r="HE23" s="105"/>
      <c r="HF23" s="105"/>
      <c r="HG23" s="105"/>
      <c r="HH23" s="105"/>
      <c r="HI23" s="105"/>
      <c r="HJ23" s="105"/>
      <c r="HK23" s="105"/>
      <c r="HL23" s="105"/>
    </row>
    <row r="24" spans="1:221" x14ac:dyDescent="0.2">
      <c r="A24" s="233"/>
      <c r="B24" s="231">
        <v>2.2000000000000002</v>
      </c>
      <c r="C24" s="231" t="s">
        <v>435</v>
      </c>
      <c r="D24" s="231"/>
      <c r="E24" s="231"/>
      <c r="F24" s="231"/>
      <c r="G24" s="209"/>
      <c r="H24" s="231"/>
      <c r="I24" s="230">
        <f t="shared" ref="I24:AN24" si="14">installation.charge/(years.client.retention*12)</f>
        <v>20.083333333333332</v>
      </c>
      <c r="J24" s="230">
        <f t="shared" si="14"/>
        <v>20.083333333333332</v>
      </c>
      <c r="K24" s="230">
        <f t="shared" si="14"/>
        <v>20.083333333333332</v>
      </c>
      <c r="L24" s="230">
        <f t="shared" si="14"/>
        <v>20.083333333333332</v>
      </c>
      <c r="M24" s="230">
        <f t="shared" si="14"/>
        <v>20.083333333333332</v>
      </c>
      <c r="N24" s="230">
        <f t="shared" si="14"/>
        <v>20.083333333333332</v>
      </c>
      <c r="O24" s="230">
        <f t="shared" si="14"/>
        <v>20.083333333333332</v>
      </c>
      <c r="P24" s="230">
        <f t="shared" si="14"/>
        <v>20.083333333333332</v>
      </c>
      <c r="Q24" s="230">
        <f t="shared" si="14"/>
        <v>20.083333333333332</v>
      </c>
      <c r="R24" s="230">
        <f t="shared" si="14"/>
        <v>20.083333333333332</v>
      </c>
      <c r="S24" s="230">
        <f t="shared" si="14"/>
        <v>20.083333333333332</v>
      </c>
      <c r="T24" s="230">
        <f t="shared" si="14"/>
        <v>20.083333333333332</v>
      </c>
      <c r="U24" s="230">
        <f t="shared" si="14"/>
        <v>20.083333333333332</v>
      </c>
      <c r="V24" s="230">
        <f t="shared" si="14"/>
        <v>20.083333333333332</v>
      </c>
      <c r="W24" s="230">
        <f t="shared" si="14"/>
        <v>20.083333333333332</v>
      </c>
      <c r="X24" s="230">
        <f t="shared" si="14"/>
        <v>20.083333333333332</v>
      </c>
      <c r="Y24" s="230">
        <f t="shared" si="14"/>
        <v>20.083333333333332</v>
      </c>
      <c r="Z24" s="230">
        <f t="shared" si="14"/>
        <v>20.083333333333332</v>
      </c>
      <c r="AA24" s="230">
        <f t="shared" si="14"/>
        <v>20.083333333333332</v>
      </c>
      <c r="AB24" s="230">
        <f t="shared" si="14"/>
        <v>20.083333333333332</v>
      </c>
      <c r="AC24" s="230">
        <f t="shared" si="14"/>
        <v>20.083333333333332</v>
      </c>
      <c r="AD24" s="230">
        <f t="shared" si="14"/>
        <v>20.083333333333332</v>
      </c>
      <c r="AE24" s="230">
        <f t="shared" si="14"/>
        <v>20.083333333333332</v>
      </c>
      <c r="AF24" s="230">
        <f t="shared" si="14"/>
        <v>20.083333333333332</v>
      </c>
      <c r="AG24" s="230">
        <f t="shared" si="14"/>
        <v>20.083333333333332</v>
      </c>
      <c r="AH24" s="230">
        <f t="shared" si="14"/>
        <v>20.083333333333332</v>
      </c>
      <c r="AI24" s="230">
        <f t="shared" si="14"/>
        <v>20.083333333333332</v>
      </c>
      <c r="AJ24" s="230">
        <f t="shared" si="14"/>
        <v>20.083333333333332</v>
      </c>
      <c r="AK24" s="230">
        <f t="shared" si="14"/>
        <v>20.083333333333332</v>
      </c>
      <c r="AL24" s="230">
        <f t="shared" si="14"/>
        <v>20.083333333333332</v>
      </c>
      <c r="AM24" s="230">
        <f t="shared" si="14"/>
        <v>20.083333333333332</v>
      </c>
      <c r="AN24" s="230">
        <f t="shared" si="14"/>
        <v>20.083333333333332</v>
      </c>
      <c r="AO24" s="230">
        <f t="shared" ref="AO24:BT24" si="15">installation.charge/(years.client.retention*12)</f>
        <v>20.083333333333332</v>
      </c>
      <c r="AP24" s="230">
        <f t="shared" si="15"/>
        <v>20.083333333333332</v>
      </c>
      <c r="AQ24" s="230">
        <f t="shared" si="15"/>
        <v>20.083333333333332</v>
      </c>
      <c r="AR24" s="230">
        <f t="shared" si="15"/>
        <v>20.083333333333332</v>
      </c>
      <c r="AS24" s="230">
        <f t="shared" si="15"/>
        <v>20.083333333333332</v>
      </c>
      <c r="AT24" s="230">
        <f t="shared" si="15"/>
        <v>20.083333333333332</v>
      </c>
      <c r="AU24" s="230">
        <f t="shared" si="15"/>
        <v>20.083333333333332</v>
      </c>
      <c r="AV24" s="230">
        <f t="shared" si="15"/>
        <v>20.083333333333332</v>
      </c>
      <c r="AW24" s="230">
        <f t="shared" si="15"/>
        <v>20.083333333333332</v>
      </c>
      <c r="AX24" s="230">
        <f t="shared" si="15"/>
        <v>20.083333333333332</v>
      </c>
      <c r="AY24" s="230">
        <f t="shared" si="15"/>
        <v>20.083333333333332</v>
      </c>
      <c r="AZ24" s="230">
        <f t="shared" si="15"/>
        <v>20.083333333333332</v>
      </c>
      <c r="BA24" s="230">
        <f t="shared" si="15"/>
        <v>20.083333333333332</v>
      </c>
      <c r="BB24" s="230">
        <f t="shared" si="15"/>
        <v>20.083333333333332</v>
      </c>
      <c r="BC24" s="230">
        <f t="shared" si="15"/>
        <v>20.083333333333332</v>
      </c>
      <c r="BD24" s="230">
        <f t="shared" si="15"/>
        <v>20.083333333333332</v>
      </c>
      <c r="BE24" s="230">
        <f t="shared" si="15"/>
        <v>20.083333333333332</v>
      </c>
      <c r="BF24" s="230">
        <f t="shared" si="15"/>
        <v>20.083333333333332</v>
      </c>
      <c r="BG24" s="230">
        <f t="shared" si="15"/>
        <v>20.083333333333332</v>
      </c>
      <c r="BH24" s="230">
        <f t="shared" si="15"/>
        <v>20.083333333333332</v>
      </c>
      <c r="BI24" s="230">
        <f t="shared" si="15"/>
        <v>20.083333333333332</v>
      </c>
      <c r="BJ24" s="230">
        <f t="shared" si="15"/>
        <v>20.083333333333332</v>
      </c>
      <c r="BK24" s="230">
        <f t="shared" si="15"/>
        <v>20.083333333333332</v>
      </c>
      <c r="BL24" s="230">
        <f t="shared" si="15"/>
        <v>20.083333333333332</v>
      </c>
      <c r="BM24" s="230">
        <f t="shared" si="15"/>
        <v>20.083333333333332</v>
      </c>
      <c r="BN24" s="230">
        <f t="shared" si="15"/>
        <v>20.083333333333332</v>
      </c>
      <c r="BO24" s="230">
        <f t="shared" si="15"/>
        <v>20.083333333333332</v>
      </c>
      <c r="BP24" s="230">
        <f t="shared" si="15"/>
        <v>20.083333333333332</v>
      </c>
      <c r="BQ24" s="230">
        <f t="shared" si="15"/>
        <v>20.083333333333332</v>
      </c>
      <c r="BR24" s="230">
        <f t="shared" si="15"/>
        <v>20.083333333333332</v>
      </c>
      <c r="BS24" s="230">
        <f t="shared" si="15"/>
        <v>20.083333333333332</v>
      </c>
      <c r="BT24" s="230">
        <f t="shared" si="15"/>
        <v>20.083333333333332</v>
      </c>
      <c r="BU24" s="230">
        <f t="shared" ref="BU24:CZ24" si="16">installation.charge/(years.client.retention*12)</f>
        <v>20.083333333333332</v>
      </c>
      <c r="BV24" s="230">
        <f t="shared" si="16"/>
        <v>20.083333333333332</v>
      </c>
      <c r="BW24" s="230">
        <f t="shared" si="16"/>
        <v>20.083333333333332</v>
      </c>
      <c r="BX24" s="230">
        <f t="shared" si="16"/>
        <v>20.083333333333332</v>
      </c>
      <c r="BY24" s="230">
        <f t="shared" si="16"/>
        <v>20.083333333333332</v>
      </c>
      <c r="BZ24" s="230">
        <f t="shared" si="16"/>
        <v>20.083333333333332</v>
      </c>
      <c r="CA24" s="230">
        <f t="shared" si="16"/>
        <v>20.083333333333332</v>
      </c>
      <c r="CB24" s="230">
        <f t="shared" si="16"/>
        <v>20.083333333333332</v>
      </c>
      <c r="CC24" s="230">
        <f t="shared" si="16"/>
        <v>20.083333333333332</v>
      </c>
      <c r="CD24" s="230">
        <f t="shared" si="16"/>
        <v>20.083333333333332</v>
      </c>
      <c r="CE24" s="230">
        <f t="shared" si="16"/>
        <v>20.083333333333332</v>
      </c>
      <c r="CF24" s="230">
        <f t="shared" si="16"/>
        <v>20.083333333333332</v>
      </c>
      <c r="CG24" s="230">
        <f t="shared" si="16"/>
        <v>20.083333333333332</v>
      </c>
      <c r="CH24" s="230">
        <f t="shared" si="16"/>
        <v>20.083333333333332</v>
      </c>
      <c r="CI24" s="230">
        <f t="shared" si="16"/>
        <v>20.083333333333332</v>
      </c>
      <c r="CJ24" s="230">
        <f t="shared" si="16"/>
        <v>20.083333333333332</v>
      </c>
      <c r="CK24" s="230">
        <f t="shared" si="16"/>
        <v>20.083333333333332</v>
      </c>
      <c r="CL24" s="230">
        <f t="shared" si="16"/>
        <v>20.083333333333332</v>
      </c>
      <c r="CM24" s="230">
        <f t="shared" si="16"/>
        <v>20.083333333333332</v>
      </c>
      <c r="CN24" s="230">
        <f t="shared" si="16"/>
        <v>20.083333333333332</v>
      </c>
      <c r="CO24" s="230">
        <f t="shared" si="16"/>
        <v>20.083333333333332</v>
      </c>
      <c r="CP24" s="230">
        <f t="shared" si="16"/>
        <v>20.083333333333332</v>
      </c>
      <c r="CQ24" s="230">
        <f t="shared" si="16"/>
        <v>20.083333333333332</v>
      </c>
      <c r="CR24" s="230">
        <f t="shared" si="16"/>
        <v>20.083333333333332</v>
      </c>
      <c r="CS24" s="230">
        <f t="shared" si="16"/>
        <v>20.083333333333332</v>
      </c>
      <c r="CT24" s="230">
        <f t="shared" si="16"/>
        <v>20.083333333333332</v>
      </c>
      <c r="CU24" s="230">
        <f t="shared" si="16"/>
        <v>20.083333333333332</v>
      </c>
      <c r="CV24" s="230">
        <f t="shared" si="16"/>
        <v>20.083333333333332</v>
      </c>
      <c r="CW24" s="230">
        <f t="shared" si="16"/>
        <v>20.083333333333332</v>
      </c>
      <c r="CX24" s="230">
        <f t="shared" si="16"/>
        <v>20.083333333333332</v>
      </c>
      <c r="CY24" s="230">
        <f t="shared" si="16"/>
        <v>20.083333333333332</v>
      </c>
      <c r="CZ24" s="230">
        <f t="shared" si="16"/>
        <v>20.083333333333332</v>
      </c>
      <c r="DA24" s="230">
        <f t="shared" ref="DA24:DQ24" si="17">installation.charge/(years.client.retention*12)</f>
        <v>20.083333333333332</v>
      </c>
      <c r="DB24" s="230">
        <f t="shared" si="17"/>
        <v>20.083333333333332</v>
      </c>
      <c r="DC24" s="230">
        <f t="shared" si="17"/>
        <v>20.083333333333332</v>
      </c>
      <c r="DD24" s="230">
        <f t="shared" si="17"/>
        <v>20.083333333333332</v>
      </c>
      <c r="DE24" s="230">
        <f t="shared" si="17"/>
        <v>20.083333333333332</v>
      </c>
      <c r="DF24" s="230">
        <f t="shared" si="17"/>
        <v>20.083333333333332</v>
      </c>
      <c r="DG24" s="230">
        <f t="shared" si="17"/>
        <v>20.083333333333332</v>
      </c>
      <c r="DH24" s="230">
        <f t="shared" si="17"/>
        <v>20.083333333333332</v>
      </c>
      <c r="DI24" s="230">
        <f t="shared" si="17"/>
        <v>20.083333333333332</v>
      </c>
      <c r="DJ24" s="230">
        <f t="shared" si="17"/>
        <v>20.083333333333332</v>
      </c>
      <c r="DK24" s="230">
        <f t="shared" si="17"/>
        <v>20.083333333333332</v>
      </c>
      <c r="DL24" s="230">
        <f t="shared" si="17"/>
        <v>20.083333333333332</v>
      </c>
      <c r="DM24" s="230">
        <f t="shared" si="17"/>
        <v>20.083333333333332</v>
      </c>
      <c r="DN24" s="230">
        <f t="shared" si="17"/>
        <v>20.083333333333332</v>
      </c>
      <c r="DO24" s="230">
        <f t="shared" si="17"/>
        <v>20.083333333333332</v>
      </c>
      <c r="DP24" s="230">
        <f t="shared" si="17"/>
        <v>20.083333333333332</v>
      </c>
      <c r="DQ24" s="230">
        <f t="shared" si="17"/>
        <v>20.083333333333332</v>
      </c>
      <c r="DR24" s="105"/>
      <c r="DS24" s="105"/>
      <c r="DT24" s="105"/>
      <c r="DU24" s="105"/>
      <c r="DV24" s="105"/>
      <c r="DW24" s="105"/>
      <c r="DX24" s="105"/>
      <c r="DY24" s="105"/>
      <c r="DZ24" s="105"/>
      <c r="EA24" s="105"/>
      <c r="EB24" s="105"/>
      <c r="EC24" s="105"/>
      <c r="ED24" s="105"/>
      <c r="EE24" s="105"/>
      <c r="EF24" s="105"/>
      <c r="EG24" s="105"/>
      <c r="EH24" s="105"/>
      <c r="EI24" s="105"/>
      <c r="EJ24" s="105"/>
      <c r="EK24" s="105"/>
      <c r="EL24" s="105"/>
      <c r="EM24" s="105"/>
      <c r="EN24" s="105"/>
      <c r="EO24" s="105"/>
      <c r="EP24" s="105"/>
      <c r="EQ24" s="105"/>
      <c r="ER24" s="105"/>
      <c r="ES24" s="105"/>
      <c r="ET24" s="105"/>
      <c r="EU24" s="105"/>
      <c r="EV24" s="105"/>
      <c r="EW24" s="105"/>
      <c r="EX24" s="105"/>
      <c r="EY24" s="105"/>
      <c r="EZ24" s="105"/>
      <c r="FA24" s="105"/>
      <c r="FB24" s="105"/>
      <c r="FC24" s="105"/>
      <c r="FD24" s="105"/>
      <c r="FE24" s="105"/>
      <c r="FF24" s="105"/>
      <c r="FG24" s="105"/>
      <c r="FH24" s="105"/>
      <c r="FI24" s="105"/>
      <c r="FJ24" s="105"/>
      <c r="FK24" s="105"/>
      <c r="FL24" s="105"/>
      <c r="FM24" s="105"/>
      <c r="FN24" s="105"/>
      <c r="FO24" s="105"/>
      <c r="FP24" s="105"/>
      <c r="FQ24" s="105"/>
      <c r="FR24" s="105"/>
      <c r="FS24" s="105"/>
      <c r="FT24" s="105"/>
      <c r="FU24" s="105"/>
      <c r="FV24" s="105"/>
      <c r="FW24" s="105"/>
      <c r="FX24" s="105"/>
      <c r="FY24" s="105"/>
      <c r="FZ24" s="105"/>
      <c r="GA24" s="105"/>
      <c r="GB24" s="105"/>
      <c r="GC24" s="105"/>
      <c r="GD24" s="105"/>
      <c r="GE24" s="105"/>
      <c r="GF24" s="105"/>
      <c r="GG24" s="105"/>
      <c r="GH24" s="105"/>
      <c r="GI24" s="105"/>
      <c r="GJ24" s="105"/>
      <c r="GK24" s="105"/>
      <c r="GL24" s="105"/>
      <c r="GM24" s="105"/>
      <c r="GN24" s="105"/>
      <c r="GO24" s="105"/>
      <c r="GP24" s="105"/>
      <c r="GQ24" s="105"/>
      <c r="GR24" s="105"/>
      <c r="GS24" s="105"/>
      <c r="GT24" s="105"/>
      <c r="GU24" s="105"/>
      <c r="GV24" s="105"/>
      <c r="GW24" s="105"/>
      <c r="GX24" s="105"/>
      <c r="GY24" s="105"/>
      <c r="GZ24" s="105"/>
      <c r="HA24" s="105"/>
      <c r="HB24" s="105"/>
      <c r="HC24" s="105"/>
      <c r="HD24" s="105"/>
      <c r="HE24" s="105"/>
      <c r="HF24" s="105"/>
      <c r="HG24" s="105"/>
      <c r="HH24" s="105"/>
      <c r="HI24" s="105"/>
      <c r="HJ24" s="105"/>
      <c r="HK24" s="105"/>
      <c r="HL24" s="105"/>
    </row>
    <row r="25" spans="1:221" x14ac:dyDescent="0.2">
      <c r="AD25" t="e">
        <f>#REF!*AD17</f>
        <v>#REF!</v>
      </c>
    </row>
    <row r="26" spans="1:221" x14ac:dyDescent="0.2">
      <c r="A26" s="233"/>
      <c r="B26" s="231">
        <v>2.2999999999999998</v>
      </c>
      <c r="C26" s="231" t="s">
        <v>265</v>
      </c>
      <c r="D26" s="231"/>
      <c r="E26" s="231"/>
      <c r="F26" s="231"/>
      <c r="G26" s="234" t="s">
        <v>198</v>
      </c>
      <c r="H26" s="231" t="s">
        <v>420</v>
      </c>
      <c r="I26" s="106">
        <f>IFERROR(VLOOKUP(I$2,Base!$B$7:$L$119,8,FALSE),0)</f>
        <v>0</v>
      </c>
      <c r="J26" s="106">
        <f>IFERROR(VLOOKUP(J$2,Base!$B$7:$L$119,8,FALSE),0)</f>
        <v>0</v>
      </c>
      <c r="K26" s="106">
        <f>IFERROR(VLOOKUP(K$2,Base!$B$7:$L$119,8,FALSE),0)</f>
        <v>268.66421158352858</v>
      </c>
      <c r="L26" s="106">
        <f>IFERROR(VLOOKUP(L$2,Base!$B$7:$L$119,8,FALSE),0)</f>
        <v>352.36022765316369</v>
      </c>
      <c r="M26" s="106">
        <f>IFERROR(VLOOKUP(M$2,Base!$B$7:$L$119,8,FALSE),0)</f>
        <v>519.75225979243373</v>
      </c>
      <c r="N26" s="106">
        <f>IFERROR(VLOOKUP(N$2,Base!$B$7:$L$119,8,FALSE),0)</f>
        <v>352.36022765316369</v>
      </c>
      <c r="O26" s="106">
        <f>IFERROR(VLOOKUP(O$2,Base!$B$7:$L$119,8,FALSE),0)</f>
        <v>436.05624372279868</v>
      </c>
      <c r="P26" s="106">
        <f>IFERROR(VLOOKUP(P$2,Base!$B$7:$L$119,8,FALSE),0)</f>
        <v>436.05624372279868</v>
      </c>
      <c r="Q26" s="106">
        <f>IFERROR(VLOOKUP(Q$2,Base!$B$7:$L$119,8,FALSE),0)</f>
        <v>519.75225979243373</v>
      </c>
      <c r="R26" s="106">
        <f>IFERROR(VLOOKUP(R$2,Base!$B$7:$L$119,8,FALSE),0)</f>
        <v>268.66421158352858</v>
      </c>
      <c r="S26" s="106">
        <f>IFERROR(VLOOKUP(S$2,Base!$B$7:$L$119,8,FALSE),0)</f>
        <v>352.36022765316369</v>
      </c>
      <c r="T26" s="106">
        <f>IFERROR(VLOOKUP(T$2,Base!$B$7:$L$119,8,FALSE),0)</f>
        <v>267.79907128346827</v>
      </c>
      <c r="U26" s="106">
        <f>IFERROR(VLOOKUP(U$2,Base!$B$7:$L$119,8,FALSE),0)</f>
        <v>351.49508735310326</v>
      </c>
      <c r="V26" s="106">
        <f>IFERROR(VLOOKUP(V$2,Base!$B$7:$L$119,8,FALSE),0)</f>
        <v>518.88711949237359</v>
      </c>
      <c r="W26" s="106">
        <f>IFERROR(VLOOKUP(W$2,Base!$B$7:$L$119,8,FALSE),0)</f>
        <v>351.49508735310326</v>
      </c>
      <c r="X26" s="106">
        <f>IFERROR(VLOOKUP(X$2,Base!$B$7:$L$119,8,FALSE),0)</f>
        <v>435.19110342273837</v>
      </c>
      <c r="Y26" s="106">
        <f>IFERROR(VLOOKUP(Y$2,Base!$B$7:$L$119,8,FALSE),0)</f>
        <v>435.19110342273837</v>
      </c>
      <c r="Z26" s="106">
        <f>IFERROR(VLOOKUP(Z$2,Base!$B$7:$L$119,8,FALSE),0)</f>
        <v>518.88711949237359</v>
      </c>
      <c r="AA26" s="106">
        <f>IFERROR(VLOOKUP(AA$2,Base!$B$7:$L$119,8,FALSE),0)</f>
        <v>225.95106324865071</v>
      </c>
      <c r="AB26" s="106">
        <f>IFERROR(VLOOKUP(AB$2,Base!$B$7:$L$119,8,FALSE),0)</f>
        <v>309.64707931828582</v>
      </c>
      <c r="AC26" s="106">
        <f>IFERROR(VLOOKUP(AC$2,Base!$B$7:$L$119,8,FALSE),0)</f>
        <v>267.79907128346827</v>
      </c>
      <c r="AD26" s="106">
        <f>IFERROR(VLOOKUP(AD$2,Base!$B$7:$L$119,8,FALSE),0)</f>
        <v>351.49508735310326</v>
      </c>
      <c r="AE26" s="106">
        <f>IFERROR(VLOOKUP(AE$2,Base!$B$7:$L$119,8,FALSE),0)</f>
        <v>518.88711949237359</v>
      </c>
      <c r="AF26" s="106">
        <f>IFERROR(VLOOKUP(AF$2,Base!$B$7:$L$119,8,FALSE),0)</f>
        <v>351.49508735310326</v>
      </c>
      <c r="AG26" s="106">
        <f>IFERROR(VLOOKUP(AG$2,Base!$B$7:$L$119,8,FALSE),0)</f>
        <v>435.19110342273837</v>
      </c>
      <c r="AH26" s="106">
        <f>IFERROR(VLOOKUP(AH$2,Base!$B$7:$L$119,8,FALSE),0)</f>
        <v>435.19110342273837</v>
      </c>
      <c r="AI26" s="106">
        <f>IFERROR(VLOOKUP(AI$2,Base!$B$7:$L$119,8,FALSE),0)</f>
        <v>518.88711949237359</v>
      </c>
      <c r="AJ26" s="106">
        <f>IFERROR(VLOOKUP(AJ$2,Base!$B$7:$L$119,8,FALSE),0)</f>
        <v>225.95106324865071</v>
      </c>
      <c r="AK26" s="106">
        <f>IFERROR(VLOOKUP(AK$2,Base!$B$7:$L$119,8,FALSE),0)</f>
        <v>309.64707931828582</v>
      </c>
      <c r="AL26" s="106">
        <f>IFERROR(VLOOKUP(AL$2,Base!$B$7:$L$119,8,FALSE),0)</f>
        <v>268.66421158352858</v>
      </c>
      <c r="AM26" s="106">
        <f>IFERROR(VLOOKUP(AM$2,Base!$B$7:$L$119,8,FALSE),0)</f>
        <v>352.36022765316369</v>
      </c>
      <c r="AN26" s="106">
        <f>IFERROR(VLOOKUP(AN$2,Base!$B$7:$L$119,8,FALSE),0)</f>
        <v>519.75225979243373</v>
      </c>
      <c r="AO26" s="106">
        <f>IFERROR(VLOOKUP(AO$2,Base!$B$7:$L$119,8,FALSE),0)</f>
        <v>352.36022765316369</v>
      </c>
      <c r="AP26" s="106">
        <f>IFERROR(VLOOKUP(AP$2,Base!$B$7:$L$119,8,FALSE),0)</f>
        <v>436.05624372279868</v>
      </c>
      <c r="AQ26" s="106">
        <f>IFERROR(VLOOKUP(AQ$2,Base!$B$7:$L$119,8,FALSE),0)</f>
        <v>436.05624372279868</v>
      </c>
      <c r="AR26" s="106">
        <f>IFERROR(VLOOKUP(AR$2,Base!$B$7:$L$119,8,FALSE),0)</f>
        <v>519.75225979243373</v>
      </c>
      <c r="AS26" s="106">
        <f>IFERROR(VLOOKUP(AS$2,Base!$B$7:$L$119,8,FALSE),0)</f>
        <v>268.66421158352858</v>
      </c>
      <c r="AT26" s="106">
        <f>IFERROR(VLOOKUP(AT$2,Base!$B$7:$L$119,8,FALSE),0)</f>
        <v>352.36022765316369</v>
      </c>
      <c r="AU26" s="106">
        <f>IFERROR(VLOOKUP(AU$2,Base!$B$7:$L$119,8,FALSE),0)</f>
        <v>309.05694132941784</v>
      </c>
      <c r="AV26" s="106">
        <f>IFERROR(VLOOKUP(AV$2,Base!$B$7:$L$119,8,FALSE),0)</f>
        <v>393.34309538792081</v>
      </c>
      <c r="AW26" s="106">
        <f>IFERROR(VLOOKUP(AW$2,Base!$B$7:$L$119,8,FALSE),0)</f>
        <v>560.73512752719103</v>
      </c>
      <c r="AX26" s="106">
        <f>IFERROR(VLOOKUP(AX$2,Base!$B$7:$L$119,8,FALSE),0)</f>
        <v>393.34309538792081</v>
      </c>
      <c r="AY26" s="106">
        <f>IFERROR(VLOOKUP(AY$2,Base!$B$7:$L$119,8,FALSE),0)</f>
        <v>477.03911145755592</v>
      </c>
      <c r="AZ26" s="106">
        <f>IFERROR(VLOOKUP(AZ$2,Base!$B$7:$L$119,8,FALSE),0)</f>
        <v>477.03911145755592</v>
      </c>
      <c r="BA26" s="106">
        <f>IFERROR(VLOOKUP(BA$2,Base!$B$7:$L$119,8,FALSE),0)</f>
        <v>560.73512752719103</v>
      </c>
      <c r="BB26" s="106">
        <f>IFERROR(VLOOKUP(BB$2,Base!$B$7:$L$119,8,FALSE),0)</f>
        <v>225.95106324865071</v>
      </c>
      <c r="BC26" s="106">
        <f>IFERROR(VLOOKUP(BC$2,Base!$B$7:$L$119,8,FALSE),0)</f>
        <v>309.64707931828582</v>
      </c>
      <c r="BD26" s="106">
        <f>IFERROR(VLOOKUP(BD$2,Base!$B$7:$L$119,8,FALSE),0)</f>
        <v>309.64707931828582</v>
      </c>
      <c r="BE26" s="106">
        <f>IFERROR(VLOOKUP(BE$2,Base!$B$7:$L$119,8,FALSE),0)</f>
        <v>393.34309538792081</v>
      </c>
      <c r="BF26" s="106">
        <f>IFERROR(VLOOKUP(BF$2,Base!$B$7:$L$119,8,FALSE),0)</f>
        <v>560.73512752719103</v>
      </c>
      <c r="BG26" s="106">
        <f>IFERROR(VLOOKUP(BG$2,Base!$B$7:$L$119,8,FALSE),0)</f>
        <v>393.34309538792081</v>
      </c>
      <c r="BH26" s="106">
        <f>IFERROR(VLOOKUP(BH$2,Base!$B$7:$L$119,8,FALSE),0)</f>
        <v>477.03911145755592</v>
      </c>
      <c r="BI26" s="106">
        <f>IFERROR(VLOOKUP(BI$2,Base!$B$7:$L$119,8,FALSE),0)</f>
        <v>477.03911145755592</v>
      </c>
      <c r="BJ26" s="106">
        <f>IFERROR(VLOOKUP(BJ$2,Base!$B$7:$L$119,8,FALSE),0)</f>
        <v>560.73512752719103</v>
      </c>
      <c r="BK26" s="106">
        <f>IFERROR(VLOOKUP(BK$2,Base!$B$7:$L$119,8,FALSE),0)</f>
        <v>225.95106324865071</v>
      </c>
      <c r="BL26" s="106">
        <f>IFERROR(VLOOKUP(BL$2,Base!$B$7:$L$119,8,FALSE),0)</f>
        <v>309.64707931828582</v>
      </c>
      <c r="BM26" s="106">
        <f>IFERROR(VLOOKUP(BM$2,Base!$B$7:$L$119,8,FALSE),0)</f>
        <v>0</v>
      </c>
      <c r="BN26" s="106">
        <f>IFERROR(VLOOKUP(BN$2,Base!$B$7:$L$119,8,FALSE),0)</f>
        <v>0</v>
      </c>
      <c r="BO26" s="106">
        <f>IFERROR(VLOOKUP(BO$2,Base!$B$7:$L$119,8,FALSE),0)</f>
        <v>251.92500836960147</v>
      </c>
      <c r="BP26" s="106">
        <f>IFERROR(VLOOKUP(BP$2,Base!$B$7:$L$119,8,FALSE),0)</f>
        <v>335.62102443923646</v>
      </c>
      <c r="BQ26" s="106">
        <f>IFERROR(VLOOKUP(BQ$2,Base!$B$7:$L$119,8,FALSE),0)</f>
        <v>503.01305657850679</v>
      </c>
      <c r="BR26" s="106">
        <f>IFERROR(VLOOKUP(BR$2,Base!$B$7:$L$119,8,FALSE),0)</f>
        <v>335.62102443923646</v>
      </c>
      <c r="BS26" s="106">
        <f>IFERROR(VLOOKUP(BS$2,Base!$B$7:$L$119,8,FALSE),0)</f>
        <v>419.31704050887168</v>
      </c>
      <c r="BT26" s="106">
        <f>IFERROR(VLOOKUP(BT$2,Base!$B$7:$L$119,8,FALSE),0)</f>
        <v>419.31704050887168</v>
      </c>
      <c r="BU26" s="106">
        <f>IFERROR(VLOOKUP(BU$2,Base!$B$7:$L$119,8,FALSE),0)</f>
        <v>503.01305657850679</v>
      </c>
      <c r="BV26" s="106">
        <f>IFERROR(VLOOKUP(BV$2,Base!$B$7:$L$119,8,FALSE),0)</f>
        <v>242.24480191190844</v>
      </c>
      <c r="BW26" s="106">
        <f>IFERROR(VLOOKUP(BW$2,Base!$B$7:$L$119,8,FALSE),0)</f>
        <v>325.94081798154343</v>
      </c>
      <c r="BX26" s="106">
        <f>IFERROR(VLOOKUP(BX$2,Base!$B$7:$L$119,8,FALSE),0)</f>
        <v>254.97196062100704</v>
      </c>
      <c r="BY26" s="106">
        <f>IFERROR(VLOOKUP(BY$2,Base!$B$7:$L$119,8,FALSE),0)</f>
        <v>338.66797669064215</v>
      </c>
      <c r="BZ26" s="106">
        <f>IFERROR(VLOOKUP(BZ$2,Base!$B$7:$L$119,8,FALSE),0)</f>
        <v>506.06000882991236</v>
      </c>
      <c r="CA26" s="106">
        <f>IFERROR(VLOOKUP(CA$2,Base!$B$7:$L$119,8,FALSE),0)</f>
        <v>338.66797669064215</v>
      </c>
      <c r="CB26" s="106">
        <f>IFERROR(VLOOKUP(CB$2,Base!$B$7:$L$119,8,FALSE),0)</f>
        <v>422.36399276027726</v>
      </c>
      <c r="CC26" s="106">
        <f>IFERROR(VLOOKUP(CC$2,Base!$B$7:$L$119,8,FALSE),0)</f>
        <v>422.36399276027726</v>
      </c>
      <c r="CD26" s="106">
        <f>IFERROR(VLOOKUP(CD$2,Base!$B$7:$L$119,8,FALSE),0)</f>
        <v>506.06000882991236</v>
      </c>
      <c r="CE26" s="106">
        <f>IFERROR(VLOOKUP(CE$2,Base!$B$7:$L$119,8,FALSE),0)</f>
        <v>208.46857680321625</v>
      </c>
      <c r="CF26" s="106">
        <f>IFERROR(VLOOKUP(CF$2,Base!$B$7:$L$119,8,FALSE),0)</f>
        <v>292.16459287285124</v>
      </c>
      <c r="CG26" s="106">
        <f>IFERROR(VLOOKUP(CG$2,Base!$B$7:$L$119,8,FALSE),0)</f>
        <v>254.97196062100704</v>
      </c>
      <c r="CH26" s="106">
        <f>IFERROR(VLOOKUP(CH$2,Base!$B$7:$L$119,8,FALSE),0)</f>
        <v>338.66797669064215</v>
      </c>
      <c r="CI26" s="106">
        <f>IFERROR(VLOOKUP(CI$2,Base!$B$7:$L$119,8,FALSE),0)</f>
        <v>506.06000882991236</v>
      </c>
      <c r="CJ26" s="106">
        <f>IFERROR(VLOOKUP(CJ$2,Base!$B$7:$L$119,8,FALSE),0)</f>
        <v>338.66797669064215</v>
      </c>
      <c r="CK26" s="106">
        <f>IFERROR(VLOOKUP(CK$2,Base!$B$7:$L$119,8,FALSE),0)</f>
        <v>422.36399276027726</v>
      </c>
      <c r="CL26" s="106">
        <f>IFERROR(VLOOKUP(CL$2,Base!$B$7:$L$119,8,FALSE),0)</f>
        <v>422.36399276027726</v>
      </c>
      <c r="CM26" s="106">
        <f>IFERROR(VLOOKUP(CM$2,Base!$B$7:$L$119,8,FALSE),0)</f>
        <v>506.06000882991236</v>
      </c>
      <c r="CN26" s="106">
        <f>IFERROR(VLOOKUP(CN$2,Base!$B$7:$L$119,8,FALSE),0)</f>
        <v>208.46857680321625</v>
      </c>
      <c r="CO26" s="106">
        <f>IFERROR(VLOOKUP(CO$2,Base!$B$7:$L$119,8,FALSE),0)</f>
        <v>292.16459287285124</v>
      </c>
      <c r="CP26" s="106">
        <f>IFERROR(VLOOKUP(CP$2,Base!$B$7:$L$119,8,FALSE),0)</f>
        <v>251.92500836960147</v>
      </c>
      <c r="CQ26" s="106">
        <f>IFERROR(VLOOKUP(CQ$2,Base!$B$7:$L$119,8,FALSE),0)</f>
        <v>335.62102443923646</v>
      </c>
      <c r="CR26" s="106">
        <f>IFERROR(VLOOKUP(CR$2,Base!$B$7:$L$119,8,FALSE),0)</f>
        <v>503.01305657850679</v>
      </c>
      <c r="CS26" s="106">
        <f>IFERROR(VLOOKUP(CS$2,Base!$B$7:$L$119,8,FALSE),0)</f>
        <v>335.62102443923646</v>
      </c>
      <c r="CT26" s="106">
        <f>IFERROR(VLOOKUP(CT$2,Base!$B$7:$L$119,8,FALSE),0)</f>
        <v>419.31704050887168</v>
      </c>
      <c r="CU26" s="106">
        <f>IFERROR(VLOOKUP(CU$2,Base!$B$7:$L$119,8,FALSE),0)</f>
        <v>419.31704050887168</v>
      </c>
      <c r="CV26" s="106">
        <f>IFERROR(VLOOKUP(CV$2,Base!$B$7:$L$119,8,FALSE),0)</f>
        <v>503.01305657850679</v>
      </c>
      <c r="CW26" s="106">
        <f>IFERROR(VLOOKUP(CW$2,Base!$B$7:$L$119,8,FALSE),0)</f>
        <v>242.24480191190844</v>
      </c>
      <c r="CX26" s="106">
        <f>IFERROR(VLOOKUP(CX$2,Base!$B$7:$L$119,8,FALSE),0)</f>
        <v>325.94081798154343</v>
      </c>
      <c r="CY26" s="106">
        <f>IFERROR(VLOOKUP(CY$2,Base!$B$7:$L$119,8,FALSE),0)</f>
        <v>296.81996865582448</v>
      </c>
      <c r="CZ26" s="106">
        <f>IFERROR(VLOOKUP(CZ$2,Base!$B$7:$L$119,8,FALSE),0)</f>
        <v>380.5159847254597</v>
      </c>
      <c r="DA26" s="106">
        <f>IFERROR(VLOOKUP(DA$2,Base!$B$7:$L$119,8,FALSE),0)</f>
        <v>547.9080168647298</v>
      </c>
      <c r="DB26" s="106">
        <f>IFERROR(VLOOKUP(DB$2,Base!$B$7:$L$119,8,FALSE),0)</f>
        <v>380.5159847254597</v>
      </c>
      <c r="DC26" s="106">
        <f>IFERROR(VLOOKUP(DC$2,Base!$B$7:$L$119,8,FALSE),0)</f>
        <v>464.21200079509481</v>
      </c>
      <c r="DD26" s="106">
        <f>IFERROR(VLOOKUP(DD$2,Base!$B$7:$L$119,8,FALSE),0)</f>
        <v>464.21200079509481</v>
      </c>
      <c r="DE26" s="106">
        <f>IFERROR(VLOOKUP(DE$2,Base!$B$7:$L$119,8,FALSE),0)</f>
        <v>547.9080168647298</v>
      </c>
      <c r="DF26" s="106">
        <f>IFERROR(VLOOKUP(DF$2,Base!$B$7:$L$119,8,FALSE),0)</f>
        <v>208.46857680321625</v>
      </c>
      <c r="DG26" s="106">
        <f>IFERROR(VLOOKUP(DG$2,Base!$B$7:$L$119,8,FALSE),0)</f>
        <v>292.16459287285124</v>
      </c>
      <c r="DH26" s="106">
        <f>IFERROR(VLOOKUP(DH$2,Base!$B$7:$L$119,8,FALSE),0)</f>
        <v>296.81996865582448</v>
      </c>
      <c r="DI26" s="106">
        <f>IFERROR(VLOOKUP(DI$2,Base!$B$7:$L$119,8,FALSE),0)</f>
        <v>380.5159847254597</v>
      </c>
      <c r="DJ26" s="106">
        <f>IFERROR(VLOOKUP(DJ$2,Base!$B$7:$L$119,8,FALSE),0)</f>
        <v>547.9080168647298</v>
      </c>
      <c r="DK26" s="106">
        <f>IFERROR(VLOOKUP(DK$2,Base!$B$7:$L$119,8,FALSE),0)</f>
        <v>380.5159847254597</v>
      </c>
      <c r="DL26" s="106">
        <f>IFERROR(VLOOKUP(DL$2,Base!$B$7:$L$119,8,FALSE),0)</f>
        <v>464.21200079509481</v>
      </c>
      <c r="DM26" s="106">
        <f>IFERROR(VLOOKUP(DM$2,Base!$B$7:$L$119,8,FALSE),0)</f>
        <v>464.21200079509481</v>
      </c>
      <c r="DN26" s="106">
        <f>IFERROR(VLOOKUP(DN$2,Base!$B$7:$L$119,8,FALSE),0)</f>
        <v>547.9080168647298</v>
      </c>
      <c r="DO26" s="106">
        <f>IFERROR(VLOOKUP(DO$2,Base!$B$7:$L$119,8,FALSE),0)</f>
        <v>208.46857680321625</v>
      </c>
      <c r="DP26" s="106">
        <f>IFERROR(VLOOKUP(DP$2,Base!$B$7:$L$119,8,FALSE),0)</f>
        <v>292.16459287285124</v>
      </c>
      <c r="DQ26" s="106">
        <f>IFERROR(VLOOKUP(DQ$2,Base!$B$7:$L$119,8,FALSE),0)</f>
        <v>572.2225707232742</v>
      </c>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2" t="s">
        <v>417</v>
      </c>
    </row>
    <row r="28" spans="1:221" s="233" customFormat="1" x14ac:dyDescent="0.2">
      <c r="B28" s="231">
        <v>2.4</v>
      </c>
      <c r="C28" s="231" t="s">
        <v>440</v>
      </c>
      <c r="D28" s="231"/>
      <c r="E28" s="231"/>
      <c r="F28" s="231"/>
      <c r="G28" s="231"/>
      <c r="H28" s="231"/>
    </row>
    <row r="29" spans="1:221" s="142" customFormat="1" x14ac:dyDescent="0.2">
      <c r="AF29" s="224"/>
    </row>
    <row r="30" spans="1:221" s="142" customFormat="1" x14ac:dyDescent="0.2">
      <c r="C30" s="229" t="s">
        <v>441</v>
      </c>
      <c r="G30" s="226" t="s">
        <v>138</v>
      </c>
      <c r="I30" s="227">
        <f t="shared" ref="I30:AN30" si="18">IFERROR(1-SUM(I17)/SUM(I17,I24),0)</f>
        <v>6.2652335314238083E-2</v>
      </c>
      <c r="J30" s="227">
        <f t="shared" si="18"/>
        <v>6.2652335314238083E-2</v>
      </c>
      <c r="K30" s="227">
        <f t="shared" si="18"/>
        <v>6.2652335314238083E-2</v>
      </c>
      <c r="L30" s="227">
        <f t="shared" si="18"/>
        <v>6.2652335314238083E-2</v>
      </c>
      <c r="M30" s="227">
        <f t="shared" si="18"/>
        <v>6.2652335314238083E-2</v>
      </c>
      <c r="N30" s="227">
        <f t="shared" si="18"/>
        <v>6.2652335314238083E-2</v>
      </c>
      <c r="O30" s="227">
        <f t="shared" si="18"/>
        <v>6.2652335314238083E-2</v>
      </c>
      <c r="P30" s="227">
        <f t="shared" si="18"/>
        <v>6.2652335314238083E-2</v>
      </c>
      <c r="Q30" s="227">
        <f t="shared" si="18"/>
        <v>6.2652335314238083E-2</v>
      </c>
      <c r="R30" s="227">
        <f t="shared" si="18"/>
        <v>6.2652335314238083E-2</v>
      </c>
      <c r="S30" s="227">
        <f t="shared" si="18"/>
        <v>6.2652335314238083E-2</v>
      </c>
      <c r="T30" s="227">
        <f t="shared" si="18"/>
        <v>5.5285599816683573E-2</v>
      </c>
      <c r="U30" s="227">
        <f t="shared" si="18"/>
        <v>5.5285599816683573E-2</v>
      </c>
      <c r="V30" s="227">
        <f t="shared" si="18"/>
        <v>5.5285599816683573E-2</v>
      </c>
      <c r="W30" s="227">
        <f t="shared" si="18"/>
        <v>5.5285599816683573E-2</v>
      </c>
      <c r="X30" s="227">
        <f t="shared" si="18"/>
        <v>5.5285599816683573E-2</v>
      </c>
      <c r="Y30" s="227">
        <f t="shared" si="18"/>
        <v>5.5285599816683573E-2</v>
      </c>
      <c r="Z30" s="227">
        <f t="shared" si="18"/>
        <v>5.5285599816683573E-2</v>
      </c>
      <c r="AA30" s="227">
        <f t="shared" si="18"/>
        <v>5.5285599816683573E-2</v>
      </c>
      <c r="AB30" s="227">
        <f t="shared" si="18"/>
        <v>5.5285599816683573E-2</v>
      </c>
      <c r="AC30" s="227">
        <f t="shared" si="18"/>
        <v>5.5285599816683573E-2</v>
      </c>
      <c r="AD30" s="227">
        <f t="shared" si="18"/>
        <v>5.5285599816683573E-2</v>
      </c>
      <c r="AE30" s="227">
        <f t="shared" si="18"/>
        <v>5.5285599816683573E-2</v>
      </c>
      <c r="AF30" s="227">
        <f t="shared" si="18"/>
        <v>5.5285599816683573E-2</v>
      </c>
      <c r="AG30" s="227">
        <f t="shared" si="18"/>
        <v>5.5285599816683573E-2</v>
      </c>
      <c r="AH30" s="227">
        <f t="shared" si="18"/>
        <v>5.5285599816683573E-2</v>
      </c>
      <c r="AI30" s="227">
        <f t="shared" si="18"/>
        <v>5.5285599816683573E-2</v>
      </c>
      <c r="AJ30" s="227">
        <f t="shared" si="18"/>
        <v>5.5285599816683573E-2</v>
      </c>
      <c r="AK30" s="227">
        <f t="shared" si="18"/>
        <v>5.5285599816683573E-2</v>
      </c>
      <c r="AL30" s="227">
        <f t="shared" si="18"/>
        <v>6.2652335314238083E-2</v>
      </c>
      <c r="AM30" s="227">
        <f t="shared" si="18"/>
        <v>6.2652335314238083E-2</v>
      </c>
      <c r="AN30" s="227">
        <f t="shared" si="18"/>
        <v>6.2652335314238083E-2</v>
      </c>
      <c r="AO30" s="227">
        <f t="shared" ref="AO30:BT30" si="19">IFERROR(1-SUM(AO17)/SUM(AO17,AO24),0)</f>
        <v>6.2652335314238083E-2</v>
      </c>
      <c r="AP30" s="227">
        <f t="shared" si="19"/>
        <v>6.2652335314238083E-2</v>
      </c>
      <c r="AQ30" s="227">
        <f t="shared" si="19"/>
        <v>6.2652335314238083E-2</v>
      </c>
      <c r="AR30" s="227">
        <f t="shared" si="19"/>
        <v>6.2652335314238083E-2</v>
      </c>
      <c r="AS30" s="227">
        <f t="shared" si="19"/>
        <v>6.2652335314238083E-2</v>
      </c>
      <c r="AT30" s="227">
        <f t="shared" si="19"/>
        <v>6.2652335314238083E-2</v>
      </c>
      <c r="AU30" s="227">
        <f t="shared" si="19"/>
        <v>5.5195931942851106E-2</v>
      </c>
      <c r="AV30" s="227">
        <f t="shared" si="19"/>
        <v>5.5285599816683573E-2</v>
      </c>
      <c r="AW30" s="227">
        <f t="shared" si="19"/>
        <v>5.5285599816683573E-2</v>
      </c>
      <c r="AX30" s="227">
        <f t="shared" si="19"/>
        <v>5.5285599816683573E-2</v>
      </c>
      <c r="AY30" s="227">
        <f t="shared" si="19"/>
        <v>5.5285599816683573E-2</v>
      </c>
      <c r="AZ30" s="227">
        <f t="shared" si="19"/>
        <v>5.5285599816683573E-2</v>
      </c>
      <c r="BA30" s="227">
        <f t="shared" si="19"/>
        <v>5.5285599816683573E-2</v>
      </c>
      <c r="BB30" s="227">
        <f t="shared" si="19"/>
        <v>5.5285599816683573E-2</v>
      </c>
      <c r="BC30" s="227">
        <f t="shared" si="19"/>
        <v>5.5285599816683573E-2</v>
      </c>
      <c r="BD30" s="227">
        <f t="shared" si="19"/>
        <v>5.5285599816683573E-2</v>
      </c>
      <c r="BE30" s="227">
        <f t="shared" si="19"/>
        <v>5.5285599816683573E-2</v>
      </c>
      <c r="BF30" s="227">
        <f t="shared" si="19"/>
        <v>5.5285599816683573E-2</v>
      </c>
      <c r="BG30" s="227">
        <f t="shared" si="19"/>
        <v>5.5285599816683573E-2</v>
      </c>
      <c r="BH30" s="227">
        <f t="shared" si="19"/>
        <v>5.5285599816683573E-2</v>
      </c>
      <c r="BI30" s="227">
        <f t="shared" si="19"/>
        <v>5.5285599816683573E-2</v>
      </c>
      <c r="BJ30" s="227">
        <f t="shared" si="19"/>
        <v>5.5285599816683573E-2</v>
      </c>
      <c r="BK30" s="227">
        <f t="shared" si="19"/>
        <v>5.5285599816683573E-2</v>
      </c>
      <c r="BL30" s="227">
        <f t="shared" si="19"/>
        <v>5.5285599816683573E-2</v>
      </c>
      <c r="BM30" s="227">
        <f t="shared" si="19"/>
        <v>7.4290699758830403E-2</v>
      </c>
      <c r="BN30" s="227">
        <f t="shared" si="19"/>
        <v>7.4290699758830403E-2</v>
      </c>
      <c r="BO30" s="227">
        <f t="shared" si="19"/>
        <v>7.4290699758830403E-2</v>
      </c>
      <c r="BP30" s="227">
        <f t="shared" si="19"/>
        <v>7.4290699758830403E-2</v>
      </c>
      <c r="BQ30" s="227">
        <f t="shared" si="19"/>
        <v>7.4290699758830403E-2</v>
      </c>
      <c r="BR30" s="227">
        <f t="shared" si="19"/>
        <v>7.4290699758830403E-2</v>
      </c>
      <c r="BS30" s="227">
        <f t="shared" si="19"/>
        <v>7.4290699758830403E-2</v>
      </c>
      <c r="BT30" s="227">
        <f t="shared" si="19"/>
        <v>7.4290699758830403E-2</v>
      </c>
      <c r="BU30" s="227">
        <f t="shared" ref="BU30:CZ30" si="20">IFERROR(1-SUM(BU17)/SUM(BU17,BU24),0)</f>
        <v>7.4290699758830403E-2</v>
      </c>
      <c r="BV30" s="227">
        <f t="shared" si="20"/>
        <v>7.1722443531999192E-2</v>
      </c>
      <c r="BW30" s="227">
        <f t="shared" si="20"/>
        <v>7.1722443531999192E-2</v>
      </c>
      <c r="BX30" s="227">
        <f t="shared" si="20"/>
        <v>6.4966122677071025E-2</v>
      </c>
      <c r="BY30" s="227">
        <f t="shared" si="20"/>
        <v>6.4966122677071025E-2</v>
      </c>
      <c r="BZ30" s="227">
        <f t="shared" si="20"/>
        <v>6.4966122677071025E-2</v>
      </c>
      <c r="CA30" s="227">
        <f t="shared" si="20"/>
        <v>6.4966122677071025E-2</v>
      </c>
      <c r="CB30" s="227">
        <f t="shared" si="20"/>
        <v>6.4966122677071025E-2</v>
      </c>
      <c r="CC30" s="227">
        <f t="shared" si="20"/>
        <v>6.4966122677071025E-2</v>
      </c>
      <c r="CD30" s="227">
        <f t="shared" si="20"/>
        <v>6.4966122677071025E-2</v>
      </c>
      <c r="CE30" s="227">
        <f t="shared" si="20"/>
        <v>6.4002290521406824E-2</v>
      </c>
      <c r="CF30" s="227">
        <f t="shared" si="20"/>
        <v>6.4002290521406824E-2</v>
      </c>
      <c r="CG30" s="227">
        <f t="shared" si="20"/>
        <v>6.4966122677071025E-2</v>
      </c>
      <c r="CH30" s="227">
        <f t="shared" si="20"/>
        <v>6.4966122677071025E-2</v>
      </c>
      <c r="CI30" s="227">
        <f t="shared" si="20"/>
        <v>6.4966122677071025E-2</v>
      </c>
      <c r="CJ30" s="227">
        <f t="shared" si="20"/>
        <v>6.4966122677071025E-2</v>
      </c>
      <c r="CK30" s="227">
        <f t="shared" si="20"/>
        <v>6.4966122677071025E-2</v>
      </c>
      <c r="CL30" s="227">
        <f t="shared" si="20"/>
        <v>6.4966122677071025E-2</v>
      </c>
      <c r="CM30" s="227">
        <f t="shared" si="20"/>
        <v>6.4966122677071025E-2</v>
      </c>
      <c r="CN30" s="227">
        <f t="shared" si="20"/>
        <v>6.4002290521406824E-2</v>
      </c>
      <c r="CO30" s="227">
        <f t="shared" si="20"/>
        <v>6.4002290521406824E-2</v>
      </c>
      <c r="CP30" s="227">
        <f t="shared" si="20"/>
        <v>7.4290699758830403E-2</v>
      </c>
      <c r="CQ30" s="227">
        <f t="shared" si="20"/>
        <v>7.4290699758830403E-2</v>
      </c>
      <c r="CR30" s="227">
        <f t="shared" si="20"/>
        <v>7.4290699758830403E-2</v>
      </c>
      <c r="CS30" s="227">
        <f t="shared" si="20"/>
        <v>7.4290699758830403E-2</v>
      </c>
      <c r="CT30" s="227">
        <f t="shared" si="20"/>
        <v>7.4290699758830403E-2</v>
      </c>
      <c r="CU30" s="227">
        <f t="shared" si="20"/>
        <v>7.4290699758830403E-2</v>
      </c>
      <c r="CV30" s="227">
        <f t="shared" si="20"/>
        <v>7.4290699758830403E-2</v>
      </c>
      <c r="CW30" s="227">
        <f t="shared" si="20"/>
        <v>7.1722443531999192E-2</v>
      </c>
      <c r="CX30" s="227">
        <f t="shared" si="20"/>
        <v>7.1722443531999192E-2</v>
      </c>
      <c r="CY30" s="227">
        <f t="shared" si="20"/>
        <v>6.4966122677071025E-2</v>
      </c>
      <c r="CZ30" s="227">
        <f t="shared" si="20"/>
        <v>6.4966122677071025E-2</v>
      </c>
      <c r="DA30" s="227">
        <f t="shared" ref="DA30:DQ30" si="21">IFERROR(1-SUM(DA17)/SUM(DA17,DA24),0)</f>
        <v>6.4966122677071025E-2</v>
      </c>
      <c r="DB30" s="227">
        <f t="shared" si="21"/>
        <v>6.4966122677071025E-2</v>
      </c>
      <c r="DC30" s="227">
        <f t="shared" si="21"/>
        <v>6.4966122677071025E-2</v>
      </c>
      <c r="DD30" s="227">
        <f t="shared" si="21"/>
        <v>6.4966122677071025E-2</v>
      </c>
      <c r="DE30" s="227">
        <f t="shared" si="21"/>
        <v>6.4966122677071025E-2</v>
      </c>
      <c r="DF30" s="227">
        <f t="shared" si="21"/>
        <v>6.4002290521406824E-2</v>
      </c>
      <c r="DG30" s="227">
        <f t="shared" si="21"/>
        <v>6.4002290521406824E-2</v>
      </c>
      <c r="DH30" s="227">
        <f t="shared" si="21"/>
        <v>6.4966122677071025E-2</v>
      </c>
      <c r="DI30" s="227">
        <f t="shared" si="21"/>
        <v>6.4966122677071025E-2</v>
      </c>
      <c r="DJ30" s="227">
        <f t="shared" si="21"/>
        <v>6.4966122677071025E-2</v>
      </c>
      <c r="DK30" s="227">
        <f t="shared" si="21"/>
        <v>6.4966122677071025E-2</v>
      </c>
      <c r="DL30" s="227">
        <f t="shared" si="21"/>
        <v>6.4966122677071025E-2</v>
      </c>
      <c r="DM30" s="227">
        <f t="shared" si="21"/>
        <v>6.4966122677071025E-2</v>
      </c>
      <c r="DN30" s="227">
        <f t="shared" si="21"/>
        <v>6.4966122677071025E-2</v>
      </c>
      <c r="DO30" s="227">
        <f t="shared" si="21"/>
        <v>6.4002290521406824E-2</v>
      </c>
      <c r="DP30" s="227">
        <f t="shared" si="21"/>
        <v>6.4002290521406824E-2</v>
      </c>
      <c r="DQ30" s="227">
        <f t="shared" si="21"/>
        <v>5.4497720965927421E-2</v>
      </c>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W30" s="227"/>
      <c r="GX30" s="227"/>
      <c r="GY30" s="227"/>
      <c r="GZ30" s="227"/>
      <c r="HA30" s="227"/>
      <c r="HB30" s="227"/>
      <c r="HC30" s="227"/>
      <c r="HD30" s="227"/>
      <c r="HE30" s="227"/>
      <c r="HF30" s="227"/>
      <c r="HG30" s="227"/>
      <c r="HH30" s="227"/>
      <c r="HI30" s="227"/>
      <c r="HJ30" s="227"/>
      <c r="HK30" s="227"/>
      <c r="HL30" s="227"/>
    </row>
    <row r="31" spans="1:221" s="142" customFormat="1" x14ac:dyDescent="0.2">
      <c r="C31" s="225"/>
      <c r="G31" s="226" t="s">
        <v>138</v>
      </c>
      <c r="H31" s="228">
        <f>SUMPRODUCT(I30:DQ30,vector.distribution.users.STAR)</f>
        <v>6.6308845725373669E-2</v>
      </c>
    </row>
    <row r="32" spans="1:221" x14ac:dyDescent="0.2">
      <c r="I32" s="126"/>
    </row>
    <row r="33" spans="1:221" x14ac:dyDescent="0.2">
      <c r="A33" s="233"/>
      <c r="B33" s="235">
        <v>2.5</v>
      </c>
      <c r="C33" s="231" t="s">
        <v>200</v>
      </c>
      <c r="D33" s="231"/>
      <c r="E33" s="231"/>
      <c r="F33" s="231"/>
      <c r="G33" s="231"/>
      <c r="H33" s="231"/>
      <c r="I33" s="106">
        <f t="shared" ref="I33:AN33" si="22">SUM(I34:I36)</f>
        <v>300.46869768999005</v>
      </c>
      <c r="J33" s="106">
        <f t="shared" si="22"/>
        <v>300.46869768999005</v>
      </c>
      <c r="K33" s="106">
        <f t="shared" si="22"/>
        <v>569.13290927351864</v>
      </c>
      <c r="L33" s="106">
        <f t="shared" si="22"/>
        <v>652.82892534315374</v>
      </c>
      <c r="M33" s="106">
        <f t="shared" si="22"/>
        <v>820.22095748242373</v>
      </c>
      <c r="N33" s="106">
        <f t="shared" si="22"/>
        <v>652.82892534315374</v>
      </c>
      <c r="O33" s="106">
        <f t="shared" si="22"/>
        <v>736.52494141278873</v>
      </c>
      <c r="P33" s="106">
        <f t="shared" si="22"/>
        <v>736.52494141278873</v>
      </c>
      <c r="Q33" s="106">
        <f t="shared" si="22"/>
        <v>820.22095748242373</v>
      </c>
      <c r="R33" s="106">
        <f t="shared" si="22"/>
        <v>569.13290927351864</v>
      </c>
      <c r="S33" s="106">
        <f t="shared" si="22"/>
        <v>652.82892534315374</v>
      </c>
      <c r="T33" s="106">
        <f t="shared" si="22"/>
        <v>610.9809173083363</v>
      </c>
      <c r="U33" s="106">
        <f t="shared" si="22"/>
        <v>694.67693337797118</v>
      </c>
      <c r="V33" s="106">
        <f t="shared" si="22"/>
        <v>862.06896551724162</v>
      </c>
      <c r="W33" s="106">
        <f t="shared" si="22"/>
        <v>694.67693337797118</v>
      </c>
      <c r="X33" s="106">
        <f t="shared" si="22"/>
        <v>778.37294944760629</v>
      </c>
      <c r="Y33" s="106">
        <f t="shared" si="22"/>
        <v>778.37294944760629</v>
      </c>
      <c r="Z33" s="106">
        <f t="shared" si="22"/>
        <v>862.06896551724162</v>
      </c>
      <c r="AA33" s="106">
        <f t="shared" si="22"/>
        <v>569.13290927351864</v>
      </c>
      <c r="AB33" s="106">
        <f t="shared" si="22"/>
        <v>652.82892534315374</v>
      </c>
      <c r="AC33" s="106">
        <f t="shared" si="22"/>
        <v>610.9809173083363</v>
      </c>
      <c r="AD33" s="106">
        <f t="shared" si="22"/>
        <v>694.67693337797118</v>
      </c>
      <c r="AE33" s="106">
        <f t="shared" si="22"/>
        <v>862.06896551724162</v>
      </c>
      <c r="AF33" s="106">
        <f t="shared" si="22"/>
        <v>694.67693337797118</v>
      </c>
      <c r="AG33" s="106">
        <f t="shared" si="22"/>
        <v>778.37294944760629</v>
      </c>
      <c r="AH33" s="106">
        <f t="shared" si="22"/>
        <v>778.37294944760629</v>
      </c>
      <c r="AI33" s="106">
        <f t="shared" si="22"/>
        <v>862.06896551724162</v>
      </c>
      <c r="AJ33" s="106">
        <f t="shared" si="22"/>
        <v>569.13290927351864</v>
      </c>
      <c r="AK33" s="106">
        <f t="shared" si="22"/>
        <v>652.82892534315374</v>
      </c>
      <c r="AL33" s="106">
        <f t="shared" si="22"/>
        <v>569.13290927351864</v>
      </c>
      <c r="AM33" s="106">
        <f t="shared" si="22"/>
        <v>652.82892534315374</v>
      </c>
      <c r="AN33" s="106">
        <f t="shared" si="22"/>
        <v>820.22095748242373</v>
      </c>
      <c r="AO33" s="106">
        <f t="shared" ref="AO33:BT33" si="23">SUM(AO34:AO36)</f>
        <v>652.82892534315374</v>
      </c>
      <c r="AP33" s="106">
        <f t="shared" si="23"/>
        <v>736.52494141278873</v>
      </c>
      <c r="AQ33" s="106">
        <f t="shared" si="23"/>
        <v>736.52494141278873</v>
      </c>
      <c r="AR33" s="106">
        <f t="shared" si="23"/>
        <v>820.22095748242373</v>
      </c>
      <c r="AS33" s="106">
        <f t="shared" si="23"/>
        <v>569.13290927351864</v>
      </c>
      <c r="AT33" s="106">
        <f t="shared" si="23"/>
        <v>652.82892534315374</v>
      </c>
      <c r="AU33" s="106">
        <f t="shared" si="23"/>
        <v>652.82892534315374</v>
      </c>
      <c r="AV33" s="106">
        <f t="shared" si="23"/>
        <v>736.52494141278885</v>
      </c>
      <c r="AW33" s="106">
        <f t="shared" si="23"/>
        <v>903.91697355205906</v>
      </c>
      <c r="AX33" s="106">
        <f t="shared" si="23"/>
        <v>736.52494141278885</v>
      </c>
      <c r="AY33" s="106">
        <f t="shared" si="23"/>
        <v>820.22095748242396</v>
      </c>
      <c r="AZ33" s="106">
        <f t="shared" si="23"/>
        <v>820.22095748242396</v>
      </c>
      <c r="BA33" s="106">
        <f t="shared" si="23"/>
        <v>903.91697355205906</v>
      </c>
      <c r="BB33" s="106">
        <f t="shared" si="23"/>
        <v>569.13290927351864</v>
      </c>
      <c r="BC33" s="106">
        <f t="shared" si="23"/>
        <v>652.82892534315374</v>
      </c>
      <c r="BD33" s="106">
        <f t="shared" si="23"/>
        <v>652.82892534315374</v>
      </c>
      <c r="BE33" s="106">
        <f t="shared" si="23"/>
        <v>736.52494141278885</v>
      </c>
      <c r="BF33" s="106">
        <f t="shared" si="23"/>
        <v>903.91697355205906</v>
      </c>
      <c r="BG33" s="106">
        <f t="shared" si="23"/>
        <v>736.52494141278885</v>
      </c>
      <c r="BH33" s="106">
        <f t="shared" si="23"/>
        <v>820.22095748242396</v>
      </c>
      <c r="BI33" s="106">
        <f t="shared" si="23"/>
        <v>820.22095748242396</v>
      </c>
      <c r="BJ33" s="106">
        <f t="shared" si="23"/>
        <v>903.91697355205906</v>
      </c>
      <c r="BK33" s="106">
        <f t="shared" si="23"/>
        <v>569.13290927351864</v>
      </c>
      <c r="BL33" s="106">
        <f t="shared" si="23"/>
        <v>652.82892534315374</v>
      </c>
      <c r="BM33" s="106">
        <f t="shared" si="23"/>
        <v>250.25108804820908</v>
      </c>
      <c r="BN33" s="106">
        <f t="shared" si="23"/>
        <v>250.25108804820908</v>
      </c>
      <c r="BO33" s="106">
        <f t="shared" si="23"/>
        <v>502.17609641781053</v>
      </c>
      <c r="BP33" s="106">
        <f t="shared" si="23"/>
        <v>585.87211248744552</v>
      </c>
      <c r="BQ33" s="106">
        <f t="shared" si="23"/>
        <v>753.26414462671585</v>
      </c>
      <c r="BR33" s="106">
        <f t="shared" si="23"/>
        <v>585.87211248744552</v>
      </c>
      <c r="BS33" s="106">
        <f t="shared" si="23"/>
        <v>669.56812855708074</v>
      </c>
      <c r="BT33" s="106">
        <f t="shared" si="23"/>
        <v>669.56812855708074</v>
      </c>
      <c r="BU33" s="106">
        <f t="shared" ref="BU33:CZ33" si="24">SUM(BU34:BU36)</f>
        <v>753.26414462671585</v>
      </c>
      <c r="BV33" s="106">
        <f t="shared" si="24"/>
        <v>502.17609641781053</v>
      </c>
      <c r="BW33" s="106">
        <f t="shared" si="24"/>
        <v>585.87211248744552</v>
      </c>
      <c r="BX33" s="106">
        <f t="shared" si="24"/>
        <v>544.02410445262808</v>
      </c>
      <c r="BY33" s="106">
        <f t="shared" si="24"/>
        <v>627.72012052226319</v>
      </c>
      <c r="BZ33" s="106">
        <f t="shared" si="24"/>
        <v>795.1121526615334</v>
      </c>
      <c r="CA33" s="106">
        <f t="shared" si="24"/>
        <v>627.72012052226319</v>
      </c>
      <c r="CB33" s="106">
        <f t="shared" si="24"/>
        <v>711.41613659189829</v>
      </c>
      <c r="CC33" s="106">
        <f t="shared" si="24"/>
        <v>711.41613659189829</v>
      </c>
      <c r="CD33" s="106">
        <f t="shared" si="24"/>
        <v>795.1121526615334</v>
      </c>
      <c r="CE33" s="106">
        <f t="shared" si="24"/>
        <v>502.17609641781053</v>
      </c>
      <c r="CF33" s="106">
        <f t="shared" si="24"/>
        <v>585.87211248744552</v>
      </c>
      <c r="CG33" s="106">
        <f t="shared" si="24"/>
        <v>544.02410445262808</v>
      </c>
      <c r="CH33" s="106">
        <f t="shared" si="24"/>
        <v>627.72012052226319</v>
      </c>
      <c r="CI33" s="106">
        <f t="shared" si="24"/>
        <v>795.1121526615334</v>
      </c>
      <c r="CJ33" s="106">
        <f t="shared" si="24"/>
        <v>627.72012052226319</v>
      </c>
      <c r="CK33" s="106">
        <f t="shared" si="24"/>
        <v>711.41613659189829</v>
      </c>
      <c r="CL33" s="106">
        <f t="shared" si="24"/>
        <v>711.41613659189829</v>
      </c>
      <c r="CM33" s="106">
        <f t="shared" si="24"/>
        <v>795.1121526615334</v>
      </c>
      <c r="CN33" s="106">
        <f t="shared" si="24"/>
        <v>502.17609641781053</v>
      </c>
      <c r="CO33" s="106">
        <f t="shared" si="24"/>
        <v>585.87211248744552</v>
      </c>
      <c r="CP33" s="106">
        <f t="shared" si="24"/>
        <v>502.17609641781053</v>
      </c>
      <c r="CQ33" s="106">
        <f t="shared" si="24"/>
        <v>585.87211248744552</v>
      </c>
      <c r="CR33" s="106">
        <f t="shared" si="24"/>
        <v>753.26414462671585</v>
      </c>
      <c r="CS33" s="106">
        <f t="shared" si="24"/>
        <v>585.87211248744552</v>
      </c>
      <c r="CT33" s="106">
        <f t="shared" si="24"/>
        <v>669.56812855708074</v>
      </c>
      <c r="CU33" s="106">
        <f t="shared" si="24"/>
        <v>669.56812855708074</v>
      </c>
      <c r="CV33" s="106">
        <f t="shared" si="24"/>
        <v>753.26414462671585</v>
      </c>
      <c r="CW33" s="106">
        <f t="shared" si="24"/>
        <v>502.17609641781053</v>
      </c>
      <c r="CX33" s="106">
        <f t="shared" si="24"/>
        <v>585.87211248744552</v>
      </c>
      <c r="CY33" s="106">
        <f t="shared" si="24"/>
        <v>585.87211248744552</v>
      </c>
      <c r="CZ33" s="106">
        <f t="shared" si="24"/>
        <v>669.56812855708085</v>
      </c>
      <c r="DA33" s="106">
        <f t="shared" ref="DA33:DQ33" si="25">SUM(DA34:DA36)</f>
        <v>836.96016069635084</v>
      </c>
      <c r="DB33" s="106">
        <f t="shared" si="25"/>
        <v>669.56812855708085</v>
      </c>
      <c r="DC33" s="106">
        <f t="shared" si="25"/>
        <v>753.26414462671596</v>
      </c>
      <c r="DD33" s="106">
        <f t="shared" si="25"/>
        <v>753.26414462671596</v>
      </c>
      <c r="DE33" s="106">
        <f t="shared" si="25"/>
        <v>836.96016069635084</v>
      </c>
      <c r="DF33" s="106">
        <f t="shared" si="25"/>
        <v>502.17609641781053</v>
      </c>
      <c r="DG33" s="106">
        <f t="shared" si="25"/>
        <v>585.87211248744552</v>
      </c>
      <c r="DH33" s="106">
        <f t="shared" si="25"/>
        <v>585.87211248744552</v>
      </c>
      <c r="DI33" s="106">
        <f t="shared" si="25"/>
        <v>669.56812855708085</v>
      </c>
      <c r="DJ33" s="106">
        <f t="shared" si="25"/>
        <v>836.96016069635084</v>
      </c>
      <c r="DK33" s="106">
        <f t="shared" si="25"/>
        <v>669.56812855708085</v>
      </c>
      <c r="DL33" s="106">
        <f t="shared" si="25"/>
        <v>753.26414462671596</v>
      </c>
      <c r="DM33" s="106">
        <f t="shared" si="25"/>
        <v>753.26414462671596</v>
      </c>
      <c r="DN33" s="106">
        <f t="shared" si="25"/>
        <v>836.96016069635084</v>
      </c>
      <c r="DO33" s="106">
        <f t="shared" si="25"/>
        <v>502.17609641781053</v>
      </c>
      <c r="DP33" s="106">
        <f t="shared" si="25"/>
        <v>585.87211248744552</v>
      </c>
      <c r="DQ33" s="106">
        <f t="shared" si="25"/>
        <v>920.65617676598606</v>
      </c>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row>
    <row r="34" spans="1:221" x14ac:dyDescent="0.2">
      <c r="C34" s="79" t="s">
        <v>415</v>
      </c>
      <c r="G34" s="61" t="s">
        <v>201</v>
      </c>
      <c r="H34" t="s">
        <v>202</v>
      </c>
      <c r="I34" s="168">
        <f t="shared" ref="I34:AN34" si="26">I17*(1-I$30)</f>
        <v>281.64363209088435</v>
      </c>
      <c r="J34" s="168">
        <f t="shared" si="26"/>
        <v>281.64363209088435</v>
      </c>
      <c r="K34" s="168">
        <f t="shared" si="26"/>
        <v>281.64363209088435</v>
      </c>
      <c r="L34" s="168">
        <f t="shared" si="26"/>
        <v>281.64363209088435</v>
      </c>
      <c r="M34" s="168">
        <f t="shared" si="26"/>
        <v>281.64363209088435</v>
      </c>
      <c r="N34" s="168">
        <f t="shared" si="26"/>
        <v>281.64363209088435</v>
      </c>
      <c r="O34" s="168">
        <f t="shared" si="26"/>
        <v>281.64363209088435</v>
      </c>
      <c r="P34" s="168">
        <f t="shared" si="26"/>
        <v>281.64363209088435</v>
      </c>
      <c r="Q34" s="168">
        <f t="shared" si="26"/>
        <v>281.64363209088435</v>
      </c>
      <c r="R34" s="168">
        <f t="shared" si="26"/>
        <v>281.64363209088435</v>
      </c>
      <c r="S34" s="168">
        <f t="shared" si="26"/>
        <v>281.64363209088435</v>
      </c>
      <c r="T34" s="168">
        <f t="shared" si="26"/>
        <v>324.20883182118638</v>
      </c>
      <c r="U34" s="168">
        <f t="shared" si="26"/>
        <v>324.20883182118638</v>
      </c>
      <c r="V34" s="168">
        <f t="shared" si="26"/>
        <v>324.20883182118638</v>
      </c>
      <c r="W34" s="168">
        <f t="shared" si="26"/>
        <v>324.20883182118638</v>
      </c>
      <c r="X34" s="168">
        <f t="shared" si="26"/>
        <v>324.20883182118638</v>
      </c>
      <c r="Y34" s="168">
        <f t="shared" si="26"/>
        <v>324.20883182118638</v>
      </c>
      <c r="Z34" s="168">
        <f t="shared" si="26"/>
        <v>324.20883182118638</v>
      </c>
      <c r="AA34" s="168">
        <f t="shared" si="26"/>
        <v>324.20883182118638</v>
      </c>
      <c r="AB34" s="168">
        <f t="shared" si="26"/>
        <v>324.20883182118638</v>
      </c>
      <c r="AC34" s="168">
        <f t="shared" si="26"/>
        <v>324.20883182118638</v>
      </c>
      <c r="AD34" s="168">
        <f t="shared" si="26"/>
        <v>324.20883182118638</v>
      </c>
      <c r="AE34" s="168">
        <f t="shared" si="26"/>
        <v>324.20883182118638</v>
      </c>
      <c r="AF34" s="168">
        <f t="shared" si="26"/>
        <v>324.20883182118638</v>
      </c>
      <c r="AG34" s="168">
        <f t="shared" si="26"/>
        <v>324.20883182118638</v>
      </c>
      <c r="AH34" s="168">
        <f t="shared" si="26"/>
        <v>324.20883182118638</v>
      </c>
      <c r="AI34" s="168">
        <f t="shared" si="26"/>
        <v>324.20883182118638</v>
      </c>
      <c r="AJ34" s="168">
        <f t="shared" si="26"/>
        <v>324.20883182118638</v>
      </c>
      <c r="AK34" s="168">
        <f t="shared" si="26"/>
        <v>324.20883182118638</v>
      </c>
      <c r="AL34" s="168">
        <f t="shared" si="26"/>
        <v>281.64363209088435</v>
      </c>
      <c r="AM34" s="168">
        <f t="shared" si="26"/>
        <v>281.64363209088435</v>
      </c>
      <c r="AN34" s="168">
        <f t="shared" si="26"/>
        <v>281.64363209088435</v>
      </c>
      <c r="AO34" s="168">
        <f t="shared" ref="AO34:BT34" si="27">AO17*(1-AO$30)</f>
        <v>281.64363209088435</v>
      </c>
      <c r="AP34" s="168">
        <f t="shared" si="27"/>
        <v>281.64363209088435</v>
      </c>
      <c r="AQ34" s="168">
        <f t="shared" si="27"/>
        <v>281.64363209088435</v>
      </c>
      <c r="AR34" s="168">
        <f t="shared" si="27"/>
        <v>281.64363209088435</v>
      </c>
      <c r="AS34" s="168">
        <f t="shared" si="27"/>
        <v>281.64363209088435</v>
      </c>
      <c r="AT34" s="168">
        <f t="shared" si="27"/>
        <v>281.64363209088435</v>
      </c>
      <c r="AU34" s="168">
        <f t="shared" si="27"/>
        <v>324.79716898025481</v>
      </c>
      <c r="AV34" s="168">
        <f t="shared" si="27"/>
        <v>324.20883182118638</v>
      </c>
      <c r="AW34" s="168">
        <f t="shared" si="27"/>
        <v>324.20883182118638</v>
      </c>
      <c r="AX34" s="168">
        <f t="shared" si="27"/>
        <v>324.20883182118638</v>
      </c>
      <c r="AY34" s="168">
        <f t="shared" si="27"/>
        <v>324.20883182118638</v>
      </c>
      <c r="AZ34" s="168">
        <f t="shared" si="27"/>
        <v>324.20883182118638</v>
      </c>
      <c r="BA34" s="168">
        <f t="shared" si="27"/>
        <v>324.20883182118638</v>
      </c>
      <c r="BB34" s="168">
        <f t="shared" si="27"/>
        <v>324.20883182118638</v>
      </c>
      <c r="BC34" s="168">
        <f t="shared" si="27"/>
        <v>324.20883182118638</v>
      </c>
      <c r="BD34" s="168">
        <f t="shared" si="27"/>
        <v>324.20883182118638</v>
      </c>
      <c r="BE34" s="168">
        <f t="shared" si="27"/>
        <v>324.20883182118638</v>
      </c>
      <c r="BF34" s="168">
        <f t="shared" si="27"/>
        <v>324.20883182118638</v>
      </c>
      <c r="BG34" s="168">
        <f t="shared" si="27"/>
        <v>324.20883182118638</v>
      </c>
      <c r="BH34" s="168">
        <f t="shared" si="27"/>
        <v>324.20883182118638</v>
      </c>
      <c r="BI34" s="168">
        <f t="shared" si="27"/>
        <v>324.20883182118638</v>
      </c>
      <c r="BJ34" s="168">
        <f t="shared" si="27"/>
        <v>324.20883182118638</v>
      </c>
      <c r="BK34" s="168">
        <f t="shared" si="27"/>
        <v>324.20883182118638</v>
      </c>
      <c r="BL34" s="168">
        <f t="shared" si="27"/>
        <v>324.20883182118638</v>
      </c>
      <c r="BM34" s="168">
        <f t="shared" si="27"/>
        <v>231.65975960169894</v>
      </c>
      <c r="BN34" s="168">
        <f>BN17*(1-BN$30)</f>
        <v>231.65975960169894</v>
      </c>
      <c r="BO34" s="168">
        <f t="shared" si="27"/>
        <v>231.65975960169894</v>
      </c>
      <c r="BP34" s="168">
        <f t="shared" si="27"/>
        <v>231.65975960169894</v>
      </c>
      <c r="BQ34" s="168">
        <f t="shared" si="27"/>
        <v>231.65975960169894</v>
      </c>
      <c r="BR34" s="168">
        <f t="shared" si="27"/>
        <v>231.65975960169894</v>
      </c>
      <c r="BS34" s="168">
        <f t="shared" si="27"/>
        <v>231.65975960169894</v>
      </c>
      <c r="BT34" s="168">
        <f t="shared" si="27"/>
        <v>231.65975960169894</v>
      </c>
      <c r="BU34" s="168">
        <f t="shared" ref="BU34:CZ34" si="28">BU17*(1-BU$30)</f>
        <v>231.65975960169894</v>
      </c>
      <c r="BV34" s="168">
        <f t="shared" si="28"/>
        <v>241.28838691350307</v>
      </c>
      <c r="BW34" s="168">
        <f t="shared" si="28"/>
        <v>241.28838691350307</v>
      </c>
      <c r="BX34" s="168">
        <f t="shared" si="28"/>
        <v>270.27354679538558</v>
      </c>
      <c r="BY34" s="168">
        <f t="shared" si="28"/>
        <v>270.27354679538558</v>
      </c>
      <c r="BZ34" s="168">
        <f t="shared" si="28"/>
        <v>270.27354679538558</v>
      </c>
      <c r="CA34" s="168">
        <f t="shared" si="28"/>
        <v>270.27354679538558</v>
      </c>
      <c r="CB34" s="168">
        <f t="shared" si="28"/>
        <v>270.27354679538558</v>
      </c>
      <c r="CC34" s="168">
        <f t="shared" si="28"/>
        <v>270.27354679538558</v>
      </c>
      <c r="CD34" s="168">
        <f t="shared" si="28"/>
        <v>270.27354679538558</v>
      </c>
      <c r="CE34" s="168">
        <f t="shared" si="28"/>
        <v>274.90956561589923</v>
      </c>
      <c r="CF34" s="168">
        <f t="shared" si="28"/>
        <v>274.90956561589923</v>
      </c>
      <c r="CG34" s="168">
        <f t="shared" si="28"/>
        <v>270.27354679538558</v>
      </c>
      <c r="CH34" s="168">
        <f t="shared" si="28"/>
        <v>270.27354679538558</v>
      </c>
      <c r="CI34" s="168">
        <f t="shared" si="28"/>
        <v>270.27354679538558</v>
      </c>
      <c r="CJ34" s="168">
        <f t="shared" si="28"/>
        <v>270.27354679538558</v>
      </c>
      <c r="CK34" s="168">
        <f t="shared" si="28"/>
        <v>270.27354679538558</v>
      </c>
      <c r="CL34" s="168">
        <f t="shared" si="28"/>
        <v>270.27354679538558</v>
      </c>
      <c r="CM34" s="168">
        <f t="shared" si="28"/>
        <v>270.27354679538558</v>
      </c>
      <c r="CN34" s="168">
        <f t="shared" si="28"/>
        <v>274.90956561589923</v>
      </c>
      <c r="CO34" s="168">
        <f t="shared" si="28"/>
        <v>274.90956561589923</v>
      </c>
      <c r="CP34" s="168">
        <f t="shared" si="28"/>
        <v>231.65975960169894</v>
      </c>
      <c r="CQ34" s="168">
        <f t="shared" si="28"/>
        <v>231.65975960169894</v>
      </c>
      <c r="CR34" s="168">
        <f t="shared" si="28"/>
        <v>231.65975960169894</v>
      </c>
      <c r="CS34" s="168">
        <f t="shared" si="28"/>
        <v>231.65975960169894</v>
      </c>
      <c r="CT34" s="168">
        <f t="shared" si="28"/>
        <v>231.65975960169894</v>
      </c>
      <c r="CU34" s="168">
        <f t="shared" si="28"/>
        <v>231.65975960169894</v>
      </c>
      <c r="CV34" s="168">
        <f t="shared" si="28"/>
        <v>231.65975960169894</v>
      </c>
      <c r="CW34" s="168">
        <f t="shared" si="28"/>
        <v>241.28838691350307</v>
      </c>
      <c r="CX34" s="168">
        <f t="shared" si="28"/>
        <v>241.28838691350307</v>
      </c>
      <c r="CY34" s="168">
        <f t="shared" si="28"/>
        <v>270.27354679538558</v>
      </c>
      <c r="CZ34" s="168">
        <f t="shared" si="28"/>
        <v>270.27354679538558</v>
      </c>
      <c r="DA34" s="168">
        <f t="shared" ref="DA34:DQ34" si="29">DA17*(1-DA$30)</f>
        <v>270.27354679538558</v>
      </c>
      <c r="DB34" s="168">
        <f t="shared" si="29"/>
        <v>270.27354679538558</v>
      </c>
      <c r="DC34" s="168">
        <f t="shared" si="29"/>
        <v>270.27354679538558</v>
      </c>
      <c r="DD34" s="168">
        <f t="shared" si="29"/>
        <v>270.27354679538558</v>
      </c>
      <c r="DE34" s="168">
        <f t="shared" si="29"/>
        <v>270.27354679538558</v>
      </c>
      <c r="DF34" s="168">
        <f t="shared" si="29"/>
        <v>274.90956561589923</v>
      </c>
      <c r="DG34" s="168">
        <f t="shared" si="29"/>
        <v>274.90956561589923</v>
      </c>
      <c r="DH34" s="168">
        <f t="shared" si="29"/>
        <v>270.27354679538558</v>
      </c>
      <c r="DI34" s="168">
        <f t="shared" si="29"/>
        <v>270.27354679538558</v>
      </c>
      <c r="DJ34" s="168">
        <f t="shared" si="29"/>
        <v>270.27354679538558</v>
      </c>
      <c r="DK34" s="168">
        <f t="shared" si="29"/>
        <v>270.27354679538558</v>
      </c>
      <c r="DL34" s="168">
        <f t="shared" si="29"/>
        <v>270.27354679538558</v>
      </c>
      <c r="DM34" s="168">
        <f t="shared" si="29"/>
        <v>270.27354679538558</v>
      </c>
      <c r="DN34" s="168">
        <f t="shared" si="29"/>
        <v>270.27354679538558</v>
      </c>
      <c r="DO34" s="168">
        <f t="shared" si="29"/>
        <v>274.90956561589923</v>
      </c>
      <c r="DP34" s="168">
        <f t="shared" si="29"/>
        <v>274.90956561589923</v>
      </c>
      <c r="DQ34" s="168">
        <f t="shared" si="29"/>
        <v>329.44476860544421</v>
      </c>
      <c r="DR34" s="168"/>
      <c r="DS34" s="168"/>
      <c r="DT34" s="168"/>
      <c r="DU34" s="168"/>
      <c r="DV34" s="168"/>
      <c r="DW34" s="168"/>
      <c r="DX34" s="168"/>
      <c r="DY34" s="168"/>
      <c r="DZ34" s="168"/>
      <c r="EA34" s="168"/>
      <c r="EB34" s="168"/>
      <c r="EC34" s="168"/>
      <c r="ED34" s="168"/>
      <c r="EE34" s="168"/>
      <c r="EF34" s="168"/>
      <c r="EG34" s="168"/>
      <c r="EH34" s="168"/>
      <c r="EI34" s="168"/>
      <c r="EJ34" s="168"/>
      <c r="EK34" s="168"/>
      <c r="EL34" s="168"/>
      <c r="EM34" s="168"/>
      <c r="EN34" s="168"/>
      <c r="EO34" s="168"/>
      <c r="EP34" s="168"/>
      <c r="EQ34" s="168"/>
      <c r="ER34" s="168"/>
      <c r="ES34" s="168"/>
      <c r="ET34" s="168"/>
      <c r="EU34" s="168"/>
      <c r="EV34" s="168"/>
      <c r="EW34" s="168"/>
      <c r="EX34" s="168"/>
      <c r="EY34" s="168"/>
      <c r="EZ34" s="168"/>
      <c r="FA34" s="168"/>
      <c r="FB34" s="168"/>
      <c r="FC34" s="168"/>
      <c r="FD34" s="168"/>
      <c r="FE34" s="168"/>
      <c r="FF34" s="168"/>
      <c r="FG34" s="168"/>
      <c r="FH34" s="168"/>
      <c r="FI34" s="168"/>
      <c r="FJ34" s="168"/>
      <c r="FK34" s="168"/>
      <c r="FL34" s="168"/>
      <c r="FM34" s="168"/>
      <c r="FN34" s="168"/>
      <c r="FO34" s="168"/>
      <c r="FP34" s="168"/>
      <c r="FQ34" s="168"/>
      <c r="FR34" s="168"/>
      <c r="FS34" s="168"/>
      <c r="FT34" s="168"/>
      <c r="FU34" s="168"/>
      <c r="FV34" s="168"/>
      <c r="FW34" s="168"/>
      <c r="FX34" s="168"/>
      <c r="FY34" s="168"/>
      <c r="FZ34" s="168"/>
      <c r="GA34" s="168"/>
      <c r="GB34" s="168"/>
      <c r="GC34" s="168"/>
      <c r="GD34" s="168"/>
      <c r="GE34" s="168"/>
      <c r="GF34" s="168"/>
      <c r="GG34" s="168"/>
      <c r="GH34" s="168"/>
      <c r="GI34" s="168"/>
      <c r="GJ34" s="168"/>
      <c r="GK34" s="168"/>
      <c r="GL34" s="168"/>
      <c r="GM34" s="168"/>
      <c r="GN34" s="168"/>
      <c r="GO34" s="168"/>
      <c r="GP34" s="168"/>
      <c r="GQ34" s="168"/>
      <c r="GR34" s="168"/>
      <c r="GS34" s="168"/>
      <c r="GT34" s="168"/>
      <c r="GU34" s="168"/>
      <c r="GV34" s="168"/>
      <c r="GW34" s="168"/>
      <c r="GX34" s="168"/>
      <c r="GY34" s="168"/>
      <c r="GZ34" s="168"/>
      <c r="HA34" s="168"/>
      <c r="HB34" s="168"/>
      <c r="HC34" s="168"/>
      <c r="HD34" s="168"/>
      <c r="HE34" s="168"/>
      <c r="HF34" s="168"/>
      <c r="HG34" s="168"/>
      <c r="HH34" s="168"/>
      <c r="HI34" s="168"/>
      <c r="HJ34" s="168"/>
      <c r="HK34" s="168"/>
      <c r="HL34" s="168"/>
      <c r="HM34" s="102" t="s">
        <v>481</v>
      </c>
    </row>
    <row r="35" spans="1:221" x14ac:dyDescent="0.2">
      <c r="C35" s="79" t="s">
        <v>437</v>
      </c>
      <c r="G35" s="61" t="s">
        <v>201</v>
      </c>
      <c r="H35" t="s">
        <v>202</v>
      </c>
      <c r="I35" s="168">
        <f t="shared" ref="I35:AN35" si="30">I24*(1-I$30)</f>
        <v>18.825065599105717</v>
      </c>
      <c r="J35" s="168">
        <f t="shared" si="30"/>
        <v>18.825065599105717</v>
      </c>
      <c r="K35" s="168">
        <f t="shared" si="30"/>
        <v>18.825065599105717</v>
      </c>
      <c r="L35" s="168">
        <f t="shared" si="30"/>
        <v>18.825065599105717</v>
      </c>
      <c r="M35" s="168">
        <f t="shared" si="30"/>
        <v>18.825065599105717</v>
      </c>
      <c r="N35" s="168">
        <f t="shared" si="30"/>
        <v>18.825065599105717</v>
      </c>
      <c r="O35" s="168">
        <f t="shared" si="30"/>
        <v>18.825065599105717</v>
      </c>
      <c r="P35" s="168">
        <f t="shared" si="30"/>
        <v>18.825065599105717</v>
      </c>
      <c r="Q35" s="168">
        <f t="shared" si="30"/>
        <v>18.825065599105717</v>
      </c>
      <c r="R35" s="168">
        <f t="shared" si="30"/>
        <v>18.825065599105717</v>
      </c>
      <c r="S35" s="168">
        <f t="shared" si="30"/>
        <v>18.825065599105717</v>
      </c>
      <c r="T35" s="168">
        <f t="shared" si="30"/>
        <v>18.973014203681604</v>
      </c>
      <c r="U35" s="168">
        <f t="shared" si="30"/>
        <v>18.973014203681604</v>
      </c>
      <c r="V35" s="168">
        <f t="shared" si="30"/>
        <v>18.973014203681604</v>
      </c>
      <c r="W35" s="168">
        <f t="shared" si="30"/>
        <v>18.973014203681604</v>
      </c>
      <c r="X35" s="168">
        <f t="shared" si="30"/>
        <v>18.973014203681604</v>
      </c>
      <c r="Y35" s="168">
        <f t="shared" si="30"/>
        <v>18.973014203681604</v>
      </c>
      <c r="Z35" s="168">
        <f t="shared" si="30"/>
        <v>18.973014203681604</v>
      </c>
      <c r="AA35" s="168">
        <f t="shared" si="30"/>
        <v>18.973014203681604</v>
      </c>
      <c r="AB35" s="168">
        <f t="shared" si="30"/>
        <v>18.973014203681604</v>
      </c>
      <c r="AC35" s="168">
        <f t="shared" si="30"/>
        <v>18.973014203681604</v>
      </c>
      <c r="AD35" s="168">
        <f t="shared" si="30"/>
        <v>18.973014203681604</v>
      </c>
      <c r="AE35" s="168">
        <f t="shared" si="30"/>
        <v>18.973014203681604</v>
      </c>
      <c r="AF35" s="168">
        <f t="shared" si="30"/>
        <v>18.973014203681604</v>
      </c>
      <c r="AG35" s="168">
        <f t="shared" si="30"/>
        <v>18.973014203681604</v>
      </c>
      <c r="AH35" s="168">
        <f t="shared" si="30"/>
        <v>18.973014203681604</v>
      </c>
      <c r="AI35" s="168">
        <f t="shared" si="30"/>
        <v>18.973014203681604</v>
      </c>
      <c r="AJ35" s="168">
        <f t="shared" si="30"/>
        <v>18.973014203681604</v>
      </c>
      <c r="AK35" s="168">
        <f t="shared" si="30"/>
        <v>18.973014203681604</v>
      </c>
      <c r="AL35" s="168">
        <f t="shared" si="30"/>
        <v>18.825065599105717</v>
      </c>
      <c r="AM35" s="168">
        <f t="shared" si="30"/>
        <v>18.825065599105717</v>
      </c>
      <c r="AN35" s="168">
        <f t="shared" si="30"/>
        <v>18.825065599105717</v>
      </c>
      <c r="AO35" s="168">
        <f t="shared" ref="AO35:BT35" si="31">AO24*(1-AO$30)</f>
        <v>18.825065599105717</v>
      </c>
      <c r="AP35" s="168">
        <f t="shared" si="31"/>
        <v>18.825065599105717</v>
      </c>
      <c r="AQ35" s="168">
        <f t="shared" si="31"/>
        <v>18.825065599105717</v>
      </c>
      <c r="AR35" s="168">
        <f t="shared" si="31"/>
        <v>18.825065599105717</v>
      </c>
      <c r="AS35" s="168">
        <f t="shared" si="31"/>
        <v>18.825065599105717</v>
      </c>
      <c r="AT35" s="168">
        <f t="shared" si="31"/>
        <v>18.825065599105717</v>
      </c>
      <c r="AU35" s="168">
        <f t="shared" si="31"/>
        <v>18.974815033481072</v>
      </c>
      <c r="AV35" s="168">
        <f t="shared" si="31"/>
        <v>18.973014203681604</v>
      </c>
      <c r="AW35" s="168">
        <f t="shared" si="31"/>
        <v>18.973014203681604</v>
      </c>
      <c r="AX35" s="168">
        <f t="shared" si="31"/>
        <v>18.973014203681604</v>
      </c>
      <c r="AY35" s="168">
        <f t="shared" si="31"/>
        <v>18.973014203681604</v>
      </c>
      <c r="AZ35" s="168">
        <f t="shared" si="31"/>
        <v>18.973014203681604</v>
      </c>
      <c r="BA35" s="168">
        <f t="shared" si="31"/>
        <v>18.973014203681604</v>
      </c>
      <c r="BB35" s="168">
        <f t="shared" si="31"/>
        <v>18.973014203681604</v>
      </c>
      <c r="BC35" s="168">
        <f t="shared" si="31"/>
        <v>18.973014203681604</v>
      </c>
      <c r="BD35" s="168">
        <f t="shared" si="31"/>
        <v>18.973014203681604</v>
      </c>
      <c r="BE35" s="168">
        <f t="shared" si="31"/>
        <v>18.973014203681604</v>
      </c>
      <c r="BF35" s="168">
        <f t="shared" si="31"/>
        <v>18.973014203681604</v>
      </c>
      <c r="BG35" s="168">
        <f t="shared" si="31"/>
        <v>18.973014203681604</v>
      </c>
      <c r="BH35" s="168">
        <f t="shared" si="31"/>
        <v>18.973014203681604</v>
      </c>
      <c r="BI35" s="168">
        <f t="shared" si="31"/>
        <v>18.973014203681604</v>
      </c>
      <c r="BJ35" s="168">
        <f t="shared" si="31"/>
        <v>18.973014203681604</v>
      </c>
      <c r="BK35" s="168">
        <f t="shared" si="31"/>
        <v>18.973014203681604</v>
      </c>
      <c r="BL35" s="168">
        <f t="shared" si="31"/>
        <v>18.973014203681604</v>
      </c>
      <c r="BM35" s="168">
        <f t="shared" si="31"/>
        <v>18.591328446510154</v>
      </c>
      <c r="BN35" s="168">
        <f t="shared" si="31"/>
        <v>18.591328446510154</v>
      </c>
      <c r="BO35" s="168">
        <f t="shared" si="31"/>
        <v>18.591328446510154</v>
      </c>
      <c r="BP35" s="168">
        <f t="shared" si="31"/>
        <v>18.591328446510154</v>
      </c>
      <c r="BQ35" s="168">
        <f t="shared" si="31"/>
        <v>18.591328446510154</v>
      </c>
      <c r="BR35" s="168">
        <f t="shared" si="31"/>
        <v>18.591328446510154</v>
      </c>
      <c r="BS35" s="168">
        <f t="shared" si="31"/>
        <v>18.591328446510154</v>
      </c>
      <c r="BT35" s="168">
        <f t="shared" si="31"/>
        <v>18.591328446510154</v>
      </c>
      <c r="BU35" s="168">
        <f t="shared" ref="BU35:CZ35" si="32">BU24*(1-BU$30)</f>
        <v>18.591328446510154</v>
      </c>
      <c r="BV35" s="168">
        <f t="shared" si="32"/>
        <v>18.642907592399016</v>
      </c>
      <c r="BW35" s="168">
        <f t="shared" si="32"/>
        <v>18.642907592399016</v>
      </c>
      <c r="BX35" s="168">
        <f t="shared" si="32"/>
        <v>18.778597036235489</v>
      </c>
      <c r="BY35" s="168">
        <f t="shared" si="32"/>
        <v>18.778597036235489</v>
      </c>
      <c r="BZ35" s="168">
        <f t="shared" si="32"/>
        <v>18.778597036235489</v>
      </c>
      <c r="CA35" s="168">
        <f t="shared" si="32"/>
        <v>18.778597036235489</v>
      </c>
      <c r="CB35" s="168">
        <f t="shared" si="32"/>
        <v>18.778597036235489</v>
      </c>
      <c r="CC35" s="168">
        <f t="shared" si="32"/>
        <v>18.778597036235489</v>
      </c>
      <c r="CD35" s="168">
        <f t="shared" si="32"/>
        <v>18.778597036235489</v>
      </c>
      <c r="CE35" s="168">
        <f t="shared" si="32"/>
        <v>18.797953998695078</v>
      </c>
      <c r="CF35" s="168">
        <f t="shared" si="32"/>
        <v>18.797953998695078</v>
      </c>
      <c r="CG35" s="168">
        <f t="shared" si="32"/>
        <v>18.778597036235489</v>
      </c>
      <c r="CH35" s="168">
        <f t="shared" si="32"/>
        <v>18.778597036235489</v>
      </c>
      <c r="CI35" s="168">
        <f t="shared" si="32"/>
        <v>18.778597036235489</v>
      </c>
      <c r="CJ35" s="168">
        <f t="shared" si="32"/>
        <v>18.778597036235489</v>
      </c>
      <c r="CK35" s="168">
        <f t="shared" si="32"/>
        <v>18.778597036235489</v>
      </c>
      <c r="CL35" s="168">
        <f t="shared" si="32"/>
        <v>18.778597036235489</v>
      </c>
      <c r="CM35" s="168">
        <f t="shared" si="32"/>
        <v>18.778597036235489</v>
      </c>
      <c r="CN35" s="168">
        <f t="shared" si="32"/>
        <v>18.797953998695078</v>
      </c>
      <c r="CO35" s="168">
        <f t="shared" si="32"/>
        <v>18.797953998695078</v>
      </c>
      <c r="CP35" s="168">
        <f t="shared" si="32"/>
        <v>18.591328446510154</v>
      </c>
      <c r="CQ35" s="168">
        <f t="shared" si="32"/>
        <v>18.591328446510154</v>
      </c>
      <c r="CR35" s="168">
        <f t="shared" si="32"/>
        <v>18.591328446510154</v>
      </c>
      <c r="CS35" s="168">
        <f t="shared" si="32"/>
        <v>18.591328446510154</v>
      </c>
      <c r="CT35" s="168">
        <f t="shared" si="32"/>
        <v>18.591328446510154</v>
      </c>
      <c r="CU35" s="168">
        <f t="shared" si="32"/>
        <v>18.591328446510154</v>
      </c>
      <c r="CV35" s="168">
        <f t="shared" si="32"/>
        <v>18.591328446510154</v>
      </c>
      <c r="CW35" s="168">
        <f t="shared" si="32"/>
        <v>18.642907592399016</v>
      </c>
      <c r="CX35" s="168">
        <f t="shared" si="32"/>
        <v>18.642907592399016</v>
      </c>
      <c r="CY35" s="168">
        <f t="shared" si="32"/>
        <v>18.778597036235489</v>
      </c>
      <c r="CZ35" s="168">
        <f t="shared" si="32"/>
        <v>18.778597036235489</v>
      </c>
      <c r="DA35" s="168">
        <f t="shared" ref="DA35:DQ35" si="33">DA24*(1-DA$30)</f>
        <v>18.778597036235489</v>
      </c>
      <c r="DB35" s="168">
        <f t="shared" si="33"/>
        <v>18.778597036235489</v>
      </c>
      <c r="DC35" s="168">
        <f t="shared" si="33"/>
        <v>18.778597036235489</v>
      </c>
      <c r="DD35" s="168">
        <f t="shared" si="33"/>
        <v>18.778597036235489</v>
      </c>
      <c r="DE35" s="168">
        <f t="shared" si="33"/>
        <v>18.778597036235489</v>
      </c>
      <c r="DF35" s="168">
        <f t="shared" si="33"/>
        <v>18.797953998695078</v>
      </c>
      <c r="DG35" s="168">
        <f t="shared" si="33"/>
        <v>18.797953998695078</v>
      </c>
      <c r="DH35" s="168">
        <f t="shared" si="33"/>
        <v>18.778597036235489</v>
      </c>
      <c r="DI35" s="168">
        <f t="shared" si="33"/>
        <v>18.778597036235489</v>
      </c>
      <c r="DJ35" s="168">
        <f t="shared" si="33"/>
        <v>18.778597036235489</v>
      </c>
      <c r="DK35" s="168">
        <f t="shared" si="33"/>
        <v>18.778597036235489</v>
      </c>
      <c r="DL35" s="168">
        <f t="shared" si="33"/>
        <v>18.778597036235489</v>
      </c>
      <c r="DM35" s="168">
        <f t="shared" si="33"/>
        <v>18.778597036235489</v>
      </c>
      <c r="DN35" s="168">
        <f t="shared" si="33"/>
        <v>18.778597036235489</v>
      </c>
      <c r="DO35" s="168">
        <f t="shared" si="33"/>
        <v>18.797953998695078</v>
      </c>
      <c r="DP35" s="168">
        <f t="shared" si="33"/>
        <v>18.797953998695078</v>
      </c>
      <c r="DQ35" s="168">
        <f t="shared" si="33"/>
        <v>18.988837437267623</v>
      </c>
      <c r="DR35" s="168"/>
      <c r="DS35" s="168"/>
      <c r="DT35" s="168"/>
      <c r="DU35" s="168"/>
      <c r="DV35" s="168"/>
      <c r="DW35" s="168"/>
      <c r="DX35" s="168"/>
      <c r="DY35" s="168"/>
      <c r="DZ35" s="168"/>
      <c r="EA35" s="168"/>
      <c r="EB35" s="168"/>
      <c r="EC35" s="168"/>
      <c r="ED35" s="168"/>
      <c r="EE35" s="168"/>
      <c r="EF35" s="168"/>
      <c r="EG35" s="168"/>
      <c r="EH35" s="168"/>
      <c r="EI35" s="168"/>
      <c r="EJ35" s="168"/>
      <c r="EK35" s="168"/>
      <c r="EL35" s="168"/>
      <c r="EM35" s="168"/>
      <c r="EN35" s="168"/>
      <c r="EO35" s="168"/>
      <c r="EP35" s="168"/>
      <c r="EQ35" s="168"/>
      <c r="ER35" s="168"/>
      <c r="ES35" s="168"/>
      <c r="ET35" s="168"/>
      <c r="EU35" s="168"/>
      <c r="EV35" s="168"/>
      <c r="EW35" s="168"/>
      <c r="EX35" s="168"/>
      <c r="EY35" s="168"/>
      <c r="EZ35" s="168"/>
      <c r="FA35" s="168"/>
      <c r="FB35" s="168"/>
      <c r="FC35" s="168"/>
      <c r="FD35" s="168"/>
      <c r="FE35" s="168"/>
      <c r="FF35" s="168"/>
      <c r="FG35" s="168"/>
      <c r="FH35" s="168"/>
      <c r="FI35" s="168"/>
      <c r="FJ35" s="168"/>
      <c r="FK35" s="168"/>
      <c r="FL35" s="168"/>
      <c r="FM35" s="168"/>
      <c r="FN35" s="168"/>
      <c r="FO35" s="168"/>
      <c r="FP35" s="168"/>
      <c r="FQ35" s="168"/>
      <c r="FR35" s="168"/>
      <c r="FS35" s="168"/>
      <c r="FT35" s="168"/>
      <c r="FU35" s="168"/>
      <c r="FV35" s="168"/>
      <c r="FW35" s="168"/>
      <c r="FX35" s="168"/>
      <c r="FY35" s="168"/>
      <c r="FZ35" s="168"/>
      <c r="GA35" s="168"/>
      <c r="GB35" s="168"/>
      <c r="GC35" s="168"/>
      <c r="GD35" s="168"/>
      <c r="GE35" s="168"/>
      <c r="GF35" s="168"/>
      <c r="GG35" s="168"/>
      <c r="GH35" s="168"/>
      <c r="GI35" s="168"/>
      <c r="GJ35" s="168"/>
      <c r="GK35" s="168"/>
      <c r="GL35" s="168"/>
      <c r="GM35" s="168"/>
      <c r="GN35" s="168"/>
      <c r="GO35" s="168"/>
      <c r="GP35" s="168"/>
      <c r="GQ35" s="168"/>
      <c r="GR35" s="168"/>
      <c r="GS35" s="168"/>
      <c r="GT35" s="168"/>
      <c r="GU35" s="168"/>
      <c r="GV35" s="168"/>
      <c r="GW35" s="168"/>
      <c r="GX35" s="168"/>
      <c r="GY35" s="168"/>
      <c r="GZ35" s="168"/>
      <c r="HA35" s="168"/>
      <c r="HB35" s="168"/>
      <c r="HC35" s="168"/>
      <c r="HD35" s="168"/>
      <c r="HE35" s="168"/>
      <c r="HF35" s="168"/>
      <c r="HG35" s="168"/>
      <c r="HH35" s="168"/>
      <c r="HI35" s="168"/>
      <c r="HJ35" s="168"/>
      <c r="HK35" s="168"/>
      <c r="HL35" s="168"/>
      <c r="HM35" s="102" t="s">
        <v>491</v>
      </c>
    </row>
    <row r="36" spans="1:221" x14ac:dyDescent="0.2">
      <c r="C36" s="79" t="s">
        <v>265</v>
      </c>
      <c r="G36" s="61" t="s">
        <v>201</v>
      </c>
      <c r="H36" t="s">
        <v>202</v>
      </c>
      <c r="I36" s="168">
        <f>I26</f>
        <v>0</v>
      </c>
      <c r="J36" s="168">
        <f t="shared" ref="J36:BU36" si="34">J26</f>
        <v>0</v>
      </c>
      <c r="K36" s="168">
        <f t="shared" si="34"/>
        <v>268.66421158352858</v>
      </c>
      <c r="L36" s="168">
        <f t="shared" si="34"/>
        <v>352.36022765316369</v>
      </c>
      <c r="M36" s="168">
        <f t="shared" si="34"/>
        <v>519.75225979243373</v>
      </c>
      <c r="N36" s="168">
        <f t="shared" si="34"/>
        <v>352.36022765316369</v>
      </c>
      <c r="O36" s="168">
        <f t="shared" si="34"/>
        <v>436.05624372279868</v>
      </c>
      <c r="P36" s="168">
        <f t="shared" si="34"/>
        <v>436.05624372279868</v>
      </c>
      <c r="Q36" s="168">
        <f t="shared" si="34"/>
        <v>519.75225979243373</v>
      </c>
      <c r="R36" s="168">
        <f t="shared" si="34"/>
        <v>268.66421158352858</v>
      </c>
      <c r="S36" s="168">
        <f t="shared" si="34"/>
        <v>352.36022765316369</v>
      </c>
      <c r="T36" s="168">
        <f t="shared" si="34"/>
        <v>267.79907128346827</v>
      </c>
      <c r="U36" s="168">
        <f t="shared" si="34"/>
        <v>351.49508735310326</v>
      </c>
      <c r="V36" s="168">
        <f t="shared" si="34"/>
        <v>518.88711949237359</v>
      </c>
      <c r="W36" s="168">
        <f t="shared" si="34"/>
        <v>351.49508735310326</v>
      </c>
      <c r="X36" s="168">
        <f t="shared" si="34"/>
        <v>435.19110342273837</v>
      </c>
      <c r="Y36" s="168">
        <f t="shared" si="34"/>
        <v>435.19110342273837</v>
      </c>
      <c r="Z36" s="168">
        <f t="shared" si="34"/>
        <v>518.88711949237359</v>
      </c>
      <c r="AA36" s="168">
        <f t="shared" si="34"/>
        <v>225.95106324865071</v>
      </c>
      <c r="AB36" s="168">
        <f t="shared" si="34"/>
        <v>309.64707931828582</v>
      </c>
      <c r="AC36" s="168">
        <f t="shared" si="34"/>
        <v>267.79907128346827</v>
      </c>
      <c r="AD36" s="168">
        <f t="shared" si="34"/>
        <v>351.49508735310326</v>
      </c>
      <c r="AE36" s="168">
        <f t="shared" si="34"/>
        <v>518.88711949237359</v>
      </c>
      <c r="AF36" s="168">
        <f t="shared" si="34"/>
        <v>351.49508735310326</v>
      </c>
      <c r="AG36" s="168">
        <f t="shared" si="34"/>
        <v>435.19110342273837</v>
      </c>
      <c r="AH36" s="168">
        <f t="shared" si="34"/>
        <v>435.19110342273837</v>
      </c>
      <c r="AI36" s="168">
        <f t="shared" si="34"/>
        <v>518.88711949237359</v>
      </c>
      <c r="AJ36" s="168">
        <f t="shared" si="34"/>
        <v>225.95106324865071</v>
      </c>
      <c r="AK36" s="168">
        <f t="shared" si="34"/>
        <v>309.64707931828582</v>
      </c>
      <c r="AL36" s="168">
        <f t="shared" si="34"/>
        <v>268.66421158352858</v>
      </c>
      <c r="AM36" s="168">
        <f t="shared" si="34"/>
        <v>352.36022765316369</v>
      </c>
      <c r="AN36" s="168">
        <f t="shared" si="34"/>
        <v>519.75225979243373</v>
      </c>
      <c r="AO36" s="168">
        <f t="shared" si="34"/>
        <v>352.36022765316369</v>
      </c>
      <c r="AP36" s="168">
        <f t="shared" si="34"/>
        <v>436.05624372279868</v>
      </c>
      <c r="AQ36" s="168">
        <f t="shared" si="34"/>
        <v>436.05624372279868</v>
      </c>
      <c r="AR36" s="168">
        <f t="shared" si="34"/>
        <v>519.75225979243373</v>
      </c>
      <c r="AS36" s="168">
        <f t="shared" si="34"/>
        <v>268.66421158352858</v>
      </c>
      <c r="AT36" s="168">
        <f t="shared" si="34"/>
        <v>352.36022765316369</v>
      </c>
      <c r="AU36" s="168">
        <f t="shared" si="34"/>
        <v>309.05694132941784</v>
      </c>
      <c r="AV36" s="168">
        <f t="shared" si="34"/>
        <v>393.34309538792081</v>
      </c>
      <c r="AW36" s="168">
        <f t="shared" si="34"/>
        <v>560.73512752719103</v>
      </c>
      <c r="AX36" s="168">
        <f t="shared" si="34"/>
        <v>393.34309538792081</v>
      </c>
      <c r="AY36" s="168">
        <f t="shared" si="34"/>
        <v>477.03911145755592</v>
      </c>
      <c r="AZ36" s="168">
        <f t="shared" si="34"/>
        <v>477.03911145755592</v>
      </c>
      <c r="BA36" s="168">
        <f t="shared" si="34"/>
        <v>560.73512752719103</v>
      </c>
      <c r="BB36" s="168">
        <f t="shared" si="34"/>
        <v>225.95106324865071</v>
      </c>
      <c r="BC36" s="168">
        <f t="shared" si="34"/>
        <v>309.64707931828582</v>
      </c>
      <c r="BD36" s="168">
        <f t="shared" si="34"/>
        <v>309.64707931828582</v>
      </c>
      <c r="BE36" s="168">
        <f t="shared" si="34"/>
        <v>393.34309538792081</v>
      </c>
      <c r="BF36" s="168">
        <f t="shared" si="34"/>
        <v>560.73512752719103</v>
      </c>
      <c r="BG36" s="168">
        <f t="shared" si="34"/>
        <v>393.34309538792081</v>
      </c>
      <c r="BH36" s="168">
        <f t="shared" si="34"/>
        <v>477.03911145755592</v>
      </c>
      <c r="BI36" s="168">
        <f t="shared" si="34"/>
        <v>477.03911145755592</v>
      </c>
      <c r="BJ36" s="168">
        <f t="shared" si="34"/>
        <v>560.73512752719103</v>
      </c>
      <c r="BK36" s="168">
        <f t="shared" si="34"/>
        <v>225.95106324865071</v>
      </c>
      <c r="BL36" s="168">
        <f t="shared" si="34"/>
        <v>309.64707931828582</v>
      </c>
      <c r="BM36" s="168">
        <f t="shared" si="34"/>
        <v>0</v>
      </c>
      <c r="BN36" s="168">
        <f t="shared" si="34"/>
        <v>0</v>
      </c>
      <c r="BO36" s="168">
        <f t="shared" si="34"/>
        <v>251.92500836960147</v>
      </c>
      <c r="BP36" s="168">
        <f t="shared" si="34"/>
        <v>335.62102443923646</v>
      </c>
      <c r="BQ36" s="168">
        <f t="shared" si="34"/>
        <v>503.01305657850679</v>
      </c>
      <c r="BR36" s="168">
        <f t="shared" si="34"/>
        <v>335.62102443923646</v>
      </c>
      <c r="BS36" s="168">
        <f t="shared" si="34"/>
        <v>419.31704050887168</v>
      </c>
      <c r="BT36" s="168">
        <f t="shared" si="34"/>
        <v>419.31704050887168</v>
      </c>
      <c r="BU36" s="168">
        <f t="shared" si="34"/>
        <v>503.01305657850679</v>
      </c>
      <c r="BV36" s="168">
        <f t="shared" ref="BV36:DQ36" si="35">BV26</f>
        <v>242.24480191190844</v>
      </c>
      <c r="BW36" s="168">
        <f t="shared" si="35"/>
        <v>325.94081798154343</v>
      </c>
      <c r="BX36" s="168">
        <f t="shared" si="35"/>
        <v>254.97196062100704</v>
      </c>
      <c r="BY36" s="168">
        <f t="shared" si="35"/>
        <v>338.66797669064215</v>
      </c>
      <c r="BZ36" s="168">
        <f t="shared" si="35"/>
        <v>506.06000882991236</v>
      </c>
      <c r="CA36" s="168">
        <f t="shared" si="35"/>
        <v>338.66797669064215</v>
      </c>
      <c r="CB36" s="168">
        <f t="shared" si="35"/>
        <v>422.36399276027726</v>
      </c>
      <c r="CC36" s="168">
        <f t="shared" si="35"/>
        <v>422.36399276027726</v>
      </c>
      <c r="CD36" s="168">
        <f t="shared" si="35"/>
        <v>506.06000882991236</v>
      </c>
      <c r="CE36" s="168">
        <f t="shared" si="35"/>
        <v>208.46857680321625</v>
      </c>
      <c r="CF36" s="168">
        <f t="shared" si="35"/>
        <v>292.16459287285124</v>
      </c>
      <c r="CG36" s="168">
        <f t="shared" si="35"/>
        <v>254.97196062100704</v>
      </c>
      <c r="CH36" s="168">
        <f t="shared" si="35"/>
        <v>338.66797669064215</v>
      </c>
      <c r="CI36" s="168">
        <f t="shared" si="35"/>
        <v>506.06000882991236</v>
      </c>
      <c r="CJ36" s="168">
        <f t="shared" si="35"/>
        <v>338.66797669064215</v>
      </c>
      <c r="CK36" s="168">
        <f t="shared" si="35"/>
        <v>422.36399276027726</v>
      </c>
      <c r="CL36" s="168">
        <f t="shared" si="35"/>
        <v>422.36399276027726</v>
      </c>
      <c r="CM36" s="168">
        <f t="shared" si="35"/>
        <v>506.06000882991236</v>
      </c>
      <c r="CN36" s="168">
        <f t="shared" si="35"/>
        <v>208.46857680321625</v>
      </c>
      <c r="CO36" s="168">
        <f t="shared" si="35"/>
        <v>292.16459287285124</v>
      </c>
      <c r="CP36" s="168">
        <f t="shared" si="35"/>
        <v>251.92500836960147</v>
      </c>
      <c r="CQ36" s="168">
        <f t="shared" si="35"/>
        <v>335.62102443923646</v>
      </c>
      <c r="CR36" s="168">
        <f t="shared" si="35"/>
        <v>503.01305657850679</v>
      </c>
      <c r="CS36" s="168">
        <f t="shared" si="35"/>
        <v>335.62102443923646</v>
      </c>
      <c r="CT36" s="168">
        <f t="shared" si="35"/>
        <v>419.31704050887168</v>
      </c>
      <c r="CU36" s="168">
        <f t="shared" si="35"/>
        <v>419.31704050887168</v>
      </c>
      <c r="CV36" s="168">
        <f t="shared" si="35"/>
        <v>503.01305657850679</v>
      </c>
      <c r="CW36" s="168">
        <f t="shared" si="35"/>
        <v>242.24480191190844</v>
      </c>
      <c r="CX36" s="168">
        <f t="shared" si="35"/>
        <v>325.94081798154343</v>
      </c>
      <c r="CY36" s="168">
        <f t="shared" si="35"/>
        <v>296.81996865582448</v>
      </c>
      <c r="CZ36" s="168">
        <f t="shared" si="35"/>
        <v>380.5159847254597</v>
      </c>
      <c r="DA36" s="168">
        <f t="shared" si="35"/>
        <v>547.9080168647298</v>
      </c>
      <c r="DB36" s="168">
        <f t="shared" si="35"/>
        <v>380.5159847254597</v>
      </c>
      <c r="DC36" s="168">
        <f t="shared" si="35"/>
        <v>464.21200079509481</v>
      </c>
      <c r="DD36" s="168">
        <f t="shared" si="35"/>
        <v>464.21200079509481</v>
      </c>
      <c r="DE36" s="168">
        <f t="shared" si="35"/>
        <v>547.9080168647298</v>
      </c>
      <c r="DF36" s="168">
        <f t="shared" si="35"/>
        <v>208.46857680321625</v>
      </c>
      <c r="DG36" s="168">
        <f t="shared" si="35"/>
        <v>292.16459287285124</v>
      </c>
      <c r="DH36" s="168">
        <f t="shared" si="35"/>
        <v>296.81996865582448</v>
      </c>
      <c r="DI36" s="168">
        <f t="shared" si="35"/>
        <v>380.5159847254597</v>
      </c>
      <c r="DJ36" s="168">
        <f t="shared" si="35"/>
        <v>547.9080168647298</v>
      </c>
      <c r="DK36" s="168">
        <f t="shared" si="35"/>
        <v>380.5159847254597</v>
      </c>
      <c r="DL36" s="168">
        <f t="shared" si="35"/>
        <v>464.21200079509481</v>
      </c>
      <c r="DM36" s="168">
        <f t="shared" si="35"/>
        <v>464.21200079509481</v>
      </c>
      <c r="DN36" s="168">
        <f t="shared" si="35"/>
        <v>547.9080168647298</v>
      </c>
      <c r="DO36" s="168">
        <f t="shared" si="35"/>
        <v>208.46857680321625</v>
      </c>
      <c r="DP36" s="168">
        <f t="shared" si="35"/>
        <v>292.16459287285124</v>
      </c>
      <c r="DQ36" s="168">
        <f t="shared" si="35"/>
        <v>572.2225707232742</v>
      </c>
      <c r="DR36" s="168"/>
      <c r="DS36" s="168"/>
      <c r="DT36" s="168"/>
      <c r="DU36" s="168"/>
      <c r="DV36" s="168"/>
      <c r="DW36" s="168"/>
      <c r="DX36" s="168"/>
      <c r="DY36" s="168"/>
      <c r="DZ36" s="168"/>
      <c r="EA36" s="168"/>
      <c r="EB36" s="168"/>
      <c r="EC36" s="168"/>
      <c r="ED36" s="168"/>
      <c r="EE36" s="168"/>
      <c r="EF36" s="168"/>
      <c r="EG36" s="168"/>
      <c r="EH36" s="168"/>
      <c r="EI36" s="168"/>
      <c r="EJ36" s="168"/>
      <c r="EK36" s="168"/>
      <c r="EL36" s="168"/>
      <c r="EM36" s="168"/>
      <c r="EN36" s="168"/>
      <c r="EO36" s="168"/>
      <c r="EP36" s="168"/>
      <c r="EQ36" s="168"/>
      <c r="ER36" s="168"/>
      <c r="ES36" s="168"/>
      <c r="ET36" s="168"/>
      <c r="EU36" s="168"/>
      <c r="EV36" s="168"/>
      <c r="EW36" s="168"/>
      <c r="EX36" s="168"/>
      <c r="EY36" s="168"/>
      <c r="EZ36" s="168"/>
      <c r="FA36" s="168"/>
      <c r="FB36" s="168"/>
      <c r="FC36" s="168"/>
      <c r="FD36" s="168"/>
      <c r="FE36" s="168"/>
      <c r="FF36" s="168"/>
      <c r="FG36" s="168"/>
      <c r="FH36" s="168"/>
      <c r="FI36" s="168"/>
      <c r="FJ36" s="168"/>
      <c r="FK36" s="168"/>
      <c r="FL36" s="168"/>
      <c r="FM36" s="168"/>
      <c r="FN36" s="168"/>
      <c r="FO36" s="168"/>
      <c r="FP36" s="168"/>
      <c r="FQ36" s="168"/>
      <c r="FR36" s="168"/>
      <c r="FS36" s="168"/>
      <c r="FT36" s="168"/>
      <c r="FU36" s="168"/>
      <c r="FV36" s="168"/>
      <c r="FW36" s="168"/>
      <c r="FX36" s="168"/>
      <c r="FY36" s="168"/>
      <c r="FZ36" s="168"/>
      <c r="GA36" s="168"/>
      <c r="GB36" s="168"/>
      <c r="GC36" s="168"/>
      <c r="GD36" s="168"/>
      <c r="GE36" s="168"/>
      <c r="GF36" s="168"/>
      <c r="GG36" s="168"/>
      <c r="GH36" s="168"/>
      <c r="GI36" s="168"/>
      <c r="GJ36" s="168"/>
      <c r="GK36" s="168"/>
      <c r="GL36" s="168"/>
      <c r="GM36" s="168"/>
      <c r="GN36" s="168"/>
      <c r="GO36" s="168"/>
      <c r="GP36" s="168"/>
      <c r="GQ36" s="168"/>
      <c r="GR36" s="168"/>
      <c r="GS36" s="168"/>
      <c r="GT36" s="168"/>
      <c r="GU36" s="168"/>
      <c r="GV36" s="168"/>
      <c r="GW36" s="168"/>
      <c r="GX36" s="168"/>
      <c r="GY36" s="168"/>
      <c r="GZ36" s="168"/>
      <c r="HA36" s="168"/>
      <c r="HB36" s="168"/>
      <c r="HC36" s="168"/>
      <c r="HD36" s="168"/>
      <c r="HE36" s="168"/>
      <c r="HF36" s="168"/>
      <c r="HG36" s="168"/>
      <c r="HH36" s="168"/>
      <c r="HI36" s="168"/>
      <c r="HJ36" s="168"/>
      <c r="HK36" s="168"/>
      <c r="HL36" s="168"/>
      <c r="HM36" s="102" t="s">
        <v>418</v>
      </c>
    </row>
    <row r="37" spans="1:221" x14ac:dyDescent="0.2">
      <c r="G37" s="61"/>
    </row>
    <row r="38" spans="1:221" s="233" customFormat="1" x14ac:dyDescent="0.2">
      <c r="A38" s="231" t="s">
        <v>150</v>
      </c>
      <c r="B38" s="231" t="s">
        <v>149</v>
      </c>
      <c r="C38" s="232"/>
      <c r="D38" s="232"/>
      <c r="E38" s="232"/>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row>
  </sheetData>
  <pageMargins left="0.7" right="0.7" top="0.75" bottom="0.75" header="0.3" footer="0.3"/>
  <pageSetup orientation="portrait" r:id="rId1"/>
  <ignoredErrors>
    <ignoredError sqref="I10:BF10 J16:L16 AA16:AG16 I11:BF11 I13:BF13 I12:AH12 I31:BF31 J33:AE33 AI16:AJ16 AG33:AP33 AR33:BF33 AT16:BF16 N16:R16 T16:W16 M32:BF32 I5:O5 I29:AG29 J28:AC28 Q5:CF5 I9:DA9 I15:BF15 I14:J14 L14:BF14 AI29:BF29 AL16:AR16 AE28:BF28 DR6:HL6 DR34:HL34 I4:DQ4 I17:DQ17 I19:DQ23 I36:DQ36 I34:BM34 I35:DQ35 BO34:DQ34" unlocked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BC102"/>
  <sheetViews>
    <sheetView showGridLines="0" zoomScale="115" zoomScaleNormal="115" workbookViewId="0">
      <pane xSplit="9" ySplit="2" topLeftCell="J3" activePane="bottomRight" state="frozen"/>
      <selection pane="topRight" activeCell="J1" sqref="J1"/>
      <selection pane="bottomLeft" activeCell="A3" sqref="A3"/>
      <selection pane="bottomRight" sqref="A1:XFD1048576"/>
    </sheetView>
  </sheetViews>
  <sheetFormatPr baseColWidth="10" defaultRowHeight="12" x14ac:dyDescent="0.2"/>
  <cols>
    <col min="1" max="2" width="6.7109375" customWidth="1"/>
    <col min="3" max="3" width="4.7109375" customWidth="1"/>
    <col min="4" max="4" width="26.28515625" customWidth="1"/>
    <col min="5" max="5" width="23" customWidth="1"/>
    <col min="6" max="6" width="10.7109375" customWidth="1"/>
    <col min="7" max="7" width="5.7109375" customWidth="1"/>
    <col min="8" max="8" width="10.5703125" customWidth="1"/>
    <col min="9" max="9" width="8.28515625" customWidth="1"/>
    <col min="10" max="10" width="25.7109375" customWidth="1"/>
    <col min="11" max="11" width="23.140625" customWidth="1"/>
    <col min="12" max="12" width="11.28515625" customWidth="1"/>
    <col min="13" max="13" width="25.7109375" customWidth="1"/>
    <col min="14" max="14" width="20.7109375" bestFit="1" customWidth="1"/>
    <col min="16" max="16" width="11.42578125" customWidth="1"/>
    <col min="17" max="17" width="14.7109375" customWidth="1"/>
    <col min="19" max="19" width="14.42578125" customWidth="1"/>
  </cols>
  <sheetData>
    <row r="1" spans="1:55" s="71" customFormat="1" ht="33.75" customHeight="1" x14ac:dyDescent="0.2">
      <c r="C1" s="71" t="s">
        <v>413</v>
      </c>
    </row>
    <row r="2" spans="1:55" x14ac:dyDescent="0.2">
      <c r="C2" s="58"/>
      <c r="D2" s="58" t="s">
        <v>134</v>
      </c>
      <c r="E2" s="1"/>
      <c r="F2" s="1"/>
      <c r="G2" s="1"/>
      <c r="H2" s="1" t="s">
        <v>135</v>
      </c>
      <c r="I2" s="1"/>
      <c r="J2" s="1" t="s">
        <v>415</v>
      </c>
      <c r="K2" s="1"/>
      <c r="L2" s="1"/>
      <c r="M2" s="1" t="s">
        <v>265</v>
      </c>
      <c r="N2" s="1"/>
      <c r="O2" s="1"/>
      <c r="P2" s="1" t="s">
        <v>137</v>
      </c>
      <c r="Q2" s="1"/>
      <c r="R2" s="1"/>
      <c r="S2" s="1"/>
      <c r="T2" s="1"/>
      <c r="U2" s="1"/>
      <c r="V2" s="1"/>
      <c r="W2" s="1"/>
      <c r="X2" s="1"/>
      <c r="Y2" s="1"/>
      <c r="Z2" s="1"/>
      <c r="AA2" s="1"/>
      <c r="AB2" s="1"/>
      <c r="AC2" s="1"/>
      <c r="AD2" s="1"/>
      <c r="AE2" s="1"/>
    </row>
    <row r="3" spans="1:55" x14ac:dyDescent="0.2">
      <c r="A3" s="76">
        <v>1</v>
      </c>
      <c r="B3" s="76" t="s">
        <v>185</v>
      </c>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row>
    <row r="5" spans="1:55" x14ac:dyDescent="0.2">
      <c r="B5" s="76">
        <v>1.1000000000000001</v>
      </c>
      <c r="C5" s="76" t="s">
        <v>412</v>
      </c>
      <c r="D5" s="76"/>
      <c r="E5" s="76"/>
      <c r="F5" s="76"/>
      <c r="G5" s="76"/>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row>
    <row r="7" spans="1:55" x14ac:dyDescent="0.2">
      <c r="C7" s="78" t="s">
        <v>474</v>
      </c>
    </row>
    <row r="8" spans="1:55" x14ac:dyDescent="0.2">
      <c r="D8" t="str">
        <f>"Número de líneas en "&amp;Year.selected-1</f>
        <v>Número de líneas en 2022</v>
      </c>
      <c r="H8" s="61" t="s">
        <v>147</v>
      </c>
      <c r="J8" s="119">
        <f>INDEX(APSM.STAR.lines,MATCH(Year.selected-1,Years,0))</f>
        <v>589139</v>
      </c>
      <c r="M8" s="119">
        <f>J8</f>
        <v>589139</v>
      </c>
    </row>
    <row r="9" spans="1:55" x14ac:dyDescent="0.2">
      <c r="D9" t="str">
        <f>"Número de líneas en "&amp;Year.selected</f>
        <v>Número de líneas en 2023</v>
      </c>
      <c r="H9" s="61" t="s">
        <v>147</v>
      </c>
      <c r="J9" s="119">
        <f>INDEX(APSM.STAR.lines,MATCH(Year.selected,Years,0))</f>
        <v>568722</v>
      </c>
      <c r="M9" s="119">
        <f>J9</f>
        <v>568722</v>
      </c>
    </row>
    <row r="10" spans="1:55" x14ac:dyDescent="0.2">
      <c r="D10" t="s">
        <v>215</v>
      </c>
      <c r="H10" s="61" t="s">
        <v>147</v>
      </c>
      <c r="J10" s="92">
        <f>J9-J8</f>
        <v>-20417</v>
      </c>
      <c r="M10" s="92">
        <f>J10</f>
        <v>-20417</v>
      </c>
    </row>
    <row r="12" spans="1:55" x14ac:dyDescent="0.2">
      <c r="D12" t="s">
        <v>152</v>
      </c>
      <c r="H12" s="61" t="s">
        <v>138</v>
      </c>
      <c r="J12" s="134">
        <f>Line.rental.churn</f>
        <v>2.1333333333333333E-2</v>
      </c>
      <c r="M12" s="134">
        <f>J12</f>
        <v>2.1333333333333333E-2</v>
      </c>
    </row>
    <row r="14" spans="1:55" x14ac:dyDescent="0.2">
      <c r="D14" t="s">
        <v>216</v>
      </c>
      <c r="H14" s="61" t="s">
        <v>147</v>
      </c>
      <c r="J14" s="92">
        <f>J8*J12+J10</f>
        <v>-7848.7013333333343</v>
      </c>
      <c r="M14" s="92">
        <f>J14</f>
        <v>-7848.7013333333343</v>
      </c>
    </row>
    <row r="16" spans="1:55" x14ac:dyDescent="0.2">
      <c r="C16" s="78" t="s">
        <v>414</v>
      </c>
    </row>
    <row r="17" spans="3:13" x14ac:dyDescent="0.2">
      <c r="D17" t="str">
        <f>"Número de líneas en "&amp;Year.selected-1</f>
        <v>Número de líneas en 2022</v>
      </c>
      <c r="H17" s="61" t="s">
        <v>147</v>
      </c>
      <c r="J17" s="92">
        <f>INDEX(APSM.STAR.user.only.residential,MATCH(Year.selected-1,Years,0))</f>
        <v>587018.09959999996</v>
      </c>
      <c r="M17" s="119">
        <f>J17</f>
        <v>587018.09959999996</v>
      </c>
    </row>
    <row r="18" spans="3:13" x14ac:dyDescent="0.2">
      <c r="D18" t="str">
        <f>"Número de líneas en "&amp;Year.selected</f>
        <v>Número de líneas en 2023</v>
      </c>
      <c r="H18" s="61" t="s">
        <v>147</v>
      </c>
      <c r="J18" s="92">
        <f>INDEX(APSM.STAR.user.only.residential,MATCH(Year.selected,Years,0))</f>
        <v>566674.60080000001</v>
      </c>
      <c r="M18" s="119">
        <f>J18</f>
        <v>566674.60080000001</v>
      </c>
    </row>
    <row r="19" spans="3:13" x14ac:dyDescent="0.2">
      <c r="D19" t="s">
        <v>215</v>
      </c>
      <c r="H19" s="61" t="s">
        <v>147</v>
      </c>
      <c r="J19" s="120">
        <f>J18-J17</f>
        <v>-20343.498799999943</v>
      </c>
      <c r="M19" s="119">
        <f>J19</f>
        <v>-20343.498799999943</v>
      </c>
    </row>
    <row r="21" spans="3:13" x14ac:dyDescent="0.2">
      <c r="D21" t="s">
        <v>152</v>
      </c>
      <c r="H21" s="61" t="s">
        <v>138</v>
      </c>
      <c r="J21" s="134">
        <f>Line.rental.churn</f>
        <v>2.1333333333333333E-2</v>
      </c>
      <c r="M21" s="134">
        <f>J21</f>
        <v>2.1333333333333333E-2</v>
      </c>
    </row>
    <row r="23" spans="3:13" x14ac:dyDescent="0.2">
      <c r="D23" t="s">
        <v>216</v>
      </c>
      <c r="H23" s="61" t="s">
        <v>147</v>
      </c>
      <c r="J23" s="120">
        <f>J17*J21+J19</f>
        <v>-7820.4460085332776</v>
      </c>
      <c r="M23" s="119">
        <f>J23</f>
        <v>-7820.4460085332776</v>
      </c>
    </row>
    <row r="25" spans="3:13" x14ac:dyDescent="0.2">
      <c r="C25" s="78" t="s">
        <v>475</v>
      </c>
    </row>
    <row r="26" spans="3:13" x14ac:dyDescent="0.2">
      <c r="D26" t="str">
        <f>"Número de líneas en "&amp;Year.selected-1</f>
        <v>Número de líneas en 2022</v>
      </c>
      <c r="H26" s="61" t="s">
        <v>147</v>
      </c>
      <c r="J26" s="92">
        <f>INDEX(APSM.STAR.users.only.noresidential,MATCH(Year.selected-1,Years,0))</f>
        <v>31695.678199999991</v>
      </c>
      <c r="M26" s="119">
        <f>J26</f>
        <v>31695.678199999991</v>
      </c>
    </row>
    <row r="27" spans="3:13" x14ac:dyDescent="0.2">
      <c r="D27" t="str">
        <f>"Número de líneas en "&amp;Year.selected</f>
        <v>Número de líneas en 2023</v>
      </c>
      <c r="H27" s="61" t="s">
        <v>147</v>
      </c>
      <c r="J27" s="92">
        <f>INDEX(APSM.STAR.users.only.noresidential,MATCH(Year.selected,Years,0))</f>
        <v>30597.243600000002</v>
      </c>
      <c r="M27" s="119">
        <f>J27</f>
        <v>30597.243600000002</v>
      </c>
    </row>
    <row r="28" spans="3:13" x14ac:dyDescent="0.2">
      <c r="D28" t="s">
        <v>215</v>
      </c>
      <c r="H28" s="61" t="s">
        <v>147</v>
      </c>
      <c r="J28" s="120">
        <f>J27-J26</f>
        <v>-1098.4345999999896</v>
      </c>
      <c r="M28" s="119">
        <f>J28</f>
        <v>-1098.4345999999896</v>
      </c>
    </row>
    <row r="30" spans="3:13" x14ac:dyDescent="0.2">
      <c r="D30" t="s">
        <v>152</v>
      </c>
      <c r="H30" s="61" t="s">
        <v>138</v>
      </c>
      <c r="J30" s="134">
        <f>Line.rental.churn</f>
        <v>2.1333333333333333E-2</v>
      </c>
      <c r="M30" s="134">
        <f>J30</f>
        <v>2.1333333333333333E-2</v>
      </c>
    </row>
    <row r="32" spans="3:13" x14ac:dyDescent="0.2">
      <c r="D32" t="s">
        <v>216</v>
      </c>
      <c r="H32" s="61" t="s">
        <v>147</v>
      </c>
      <c r="J32" s="120">
        <f>J26*J30+J28</f>
        <v>-422.26013173332308</v>
      </c>
      <c r="M32" s="119">
        <f>J32</f>
        <v>-422.26013173332308</v>
      </c>
    </row>
    <row r="34" spans="2:55" x14ac:dyDescent="0.2">
      <c r="C34" s="78" t="s">
        <v>473</v>
      </c>
    </row>
    <row r="35" spans="2:55" x14ac:dyDescent="0.2">
      <c r="D35" t="s">
        <v>146</v>
      </c>
      <c r="H35" s="61" t="s">
        <v>147</v>
      </c>
      <c r="J35" s="120">
        <f>AVERAGE(J17:J18)</f>
        <v>576846.35019999999</v>
      </c>
      <c r="M35" s="119">
        <f>J35</f>
        <v>576846.35019999999</v>
      </c>
    </row>
    <row r="36" spans="2:55" x14ac:dyDescent="0.2">
      <c r="D36" t="s">
        <v>217</v>
      </c>
      <c r="H36" s="61" t="s">
        <v>147</v>
      </c>
      <c r="J36" s="120">
        <f>AVERAGE(J26:J27)</f>
        <v>31146.460899999998</v>
      </c>
      <c r="M36" s="119">
        <f>J36</f>
        <v>31146.460899999998</v>
      </c>
    </row>
    <row r="38" spans="2:55" x14ac:dyDescent="0.2">
      <c r="J38" s="203"/>
    </row>
    <row r="39" spans="2:55" x14ac:dyDescent="0.2">
      <c r="B39" s="76">
        <v>1.2</v>
      </c>
      <c r="C39" s="76" t="s">
        <v>222</v>
      </c>
      <c r="D39" s="76"/>
      <c r="E39" s="76"/>
      <c r="F39" s="76"/>
      <c r="G39" s="76"/>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row>
    <row r="40" spans="2:55" x14ac:dyDescent="0.2">
      <c r="C40" s="78"/>
    </row>
    <row r="41" spans="2:55" hidden="1" x14ac:dyDescent="0.2">
      <c r="C41" s="73">
        <v>1</v>
      </c>
      <c r="D41" t="s">
        <v>218</v>
      </c>
      <c r="H41" s="61" t="s">
        <v>221</v>
      </c>
      <c r="J41" s="194"/>
      <c r="K41" s="129"/>
      <c r="M41" s="118">
        <v>0</v>
      </c>
      <c r="P41" s="142"/>
      <c r="Q41" s="142"/>
    </row>
    <row r="42" spans="2:55" x14ac:dyDescent="0.2">
      <c r="P42" s="142"/>
      <c r="Q42" s="142"/>
    </row>
    <row r="43" spans="2:55" x14ac:dyDescent="0.2">
      <c r="C43" s="121">
        <v>1</v>
      </c>
      <c r="D43" t="s">
        <v>219</v>
      </c>
      <c r="H43" s="61" t="s">
        <v>221</v>
      </c>
      <c r="J43" s="92">
        <f>SUMPRODUCT(vector.users.STAR,vector.periodicity,vector.implicit.prices.STAR.before.discount)</f>
        <v>2145408387.000699</v>
      </c>
      <c r="M43" s="92">
        <f>SUMPRODUCT(vector.users.STAR,vector.periodicity,vector.implicit.prices.otherservices.before.discount)</f>
        <v>1967767140.1228364</v>
      </c>
      <c r="P43" s="155"/>
      <c r="Q43" s="156"/>
    </row>
    <row r="44" spans="2:55" x14ac:dyDescent="0.2">
      <c r="C44" s="72">
        <f>1+C43</f>
        <v>2</v>
      </c>
      <c r="D44" t="s">
        <v>220</v>
      </c>
      <c r="H44" s="61" t="s">
        <v>221</v>
      </c>
      <c r="J44" s="92">
        <f>SUMPRODUCT(vector.users.STAR,vector.periodicity,vector.implicit.prices.STAR.after.discount)</f>
        <v>2010554295.6457286</v>
      </c>
      <c r="M44" s="92">
        <f>SUMPRODUCT(vector.users.STAR,vector.periodicity,vector.implicit.prices.otherservices.after.discount)</f>
        <v>1967767140.1228364</v>
      </c>
      <c r="P44" s="155"/>
      <c r="Q44" s="156"/>
    </row>
    <row r="45" spans="2:55" x14ac:dyDescent="0.2">
      <c r="P45" s="155"/>
      <c r="Q45" s="156"/>
    </row>
    <row r="46" spans="2:55" x14ac:dyDescent="0.2">
      <c r="C46" s="72">
        <v>3</v>
      </c>
      <c r="D46" s="78" t="s">
        <v>91</v>
      </c>
      <c r="H46" s="61" t="s">
        <v>221</v>
      </c>
      <c r="J46" s="123">
        <f>J41+J44</f>
        <v>2010554295.6457286</v>
      </c>
      <c r="K46" s="115">
        <f>J46/SUM($J$46,$M$46)</f>
        <v>0.50537753877027114</v>
      </c>
      <c r="M46" s="123">
        <f>M41+M44</f>
        <v>1967767140.1228364</v>
      </c>
      <c r="N46" s="115">
        <f>M46/SUM($J$46,$M$46)</f>
        <v>0.49462246122972886</v>
      </c>
      <c r="P46" s="155"/>
      <c r="Q46" s="157"/>
    </row>
    <row r="48" spans="2:55" x14ac:dyDescent="0.2">
      <c r="B48" s="76">
        <v>1.2</v>
      </c>
      <c r="C48" s="76" t="s">
        <v>223</v>
      </c>
      <c r="D48" s="76"/>
      <c r="E48" s="76"/>
      <c r="F48" s="76"/>
      <c r="G48" s="76"/>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row>
    <row r="50" spans="3:11" x14ac:dyDescent="0.2">
      <c r="C50" s="78" t="s">
        <v>224</v>
      </c>
      <c r="J50" s="123">
        <f>J52</f>
        <v>603166.2886937185</v>
      </c>
      <c r="K50" s="115">
        <f>J50/J$91</f>
        <v>2.8114287813377599E-4</v>
      </c>
    </row>
    <row r="51" spans="3:11" x14ac:dyDescent="0.2">
      <c r="C51" s="121">
        <f>1+C46</f>
        <v>4</v>
      </c>
      <c r="D51" t="str">
        <f>Control!D14</f>
        <v>Costos de facturación (incluyendo el sistema de facturación a clientes minoristas) sobre el total de ingresos</v>
      </c>
      <c r="H51" s="61" t="s">
        <v>138</v>
      </c>
      <c r="J51" s="148">
        <f>Billing.cost</f>
        <v>2.9999999999999997E-4</v>
      </c>
    </row>
    <row r="52" spans="3:11" x14ac:dyDescent="0.2">
      <c r="C52" s="72">
        <f>1+C51</f>
        <v>5</v>
      </c>
      <c r="D52" t="s">
        <v>225</v>
      </c>
      <c r="H52" t="s">
        <v>221</v>
      </c>
      <c r="J52" s="92">
        <f>J51*J$46</f>
        <v>603166.2886937185</v>
      </c>
    </row>
    <row r="54" spans="3:11" x14ac:dyDescent="0.2">
      <c r="C54" s="78" t="s">
        <v>226</v>
      </c>
      <c r="J54" s="123">
        <f>J56</f>
        <v>12666492.062568091</v>
      </c>
      <c r="K54" s="115">
        <f>J54/J$91</f>
        <v>5.9040004408092974E-3</v>
      </c>
    </row>
    <row r="55" spans="3:11" x14ac:dyDescent="0.2">
      <c r="C55" s="72">
        <f>1+C52</f>
        <v>6</v>
      </c>
      <c r="D55" t="s">
        <v>227</v>
      </c>
      <c r="H55" s="61" t="s">
        <v>138</v>
      </c>
      <c r="J55" s="148">
        <f>Bad.debt.cost</f>
        <v>6.3E-3</v>
      </c>
    </row>
    <row r="56" spans="3:11" x14ac:dyDescent="0.2">
      <c r="C56" s="72">
        <f>1+C55</f>
        <v>7</v>
      </c>
      <c r="D56" t="s">
        <v>225</v>
      </c>
      <c r="H56" t="s">
        <v>221</v>
      </c>
      <c r="J56" s="92">
        <f>J55*J$46</f>
        <v>12666492.062568091</v>
      </c>
    </row>
    <row r="58" spans="3:11" x14ac:dyDescent="0.2">
      <c r="C58" s="78" t="s">
        <v>161</v>
      </c>
      <c r="J58" s="123">
        <f>J61</f>
        <v>35563114.352410205</v>
      </c>
      <c r="K58" s="115">
        <f>J58/J$91</f>
        <v>1.6576384509304435E-2</v>
      </c>
    </row>
    <row r="59" spans="3:11" x14ac:dyDescent="0.2">
      <c r="C59" s="72">
        <f>1+C56</f>
        <v>8</v>
      </c>
      <c r="D59" t="s">
        <v>239</v>
      </c>
      <c r="J59" s="122">
        <f>Marketing.and.sales.per.gross.add.STAR</f>
        <v>91</v>
      </c>
    </row>
    <row r="60" spans="3:11" x14ac:dyDescent="0.2">
      <c r="C60" s="72">
        <f>1+C59</f>
        <v>9</v>
      </c>
      <c r="D60" t="s">
        <v>240</v>
      </c>
      <c r="J60" s="148">
        <f>Marketing.and.sales.minimum.proportion.STAR</f>
        <v>3.5000000000000003E-2</v>
      </c>
    </row>
    <row r="61" spans="3:11" x14ac:dyDescent="0.2">
      <c r="C61" s="72">
        <f>1+C60</f>
        <v>10</v>
      </c>
      <c r="D61" t="s">
        <v>241</v>
      </c>
      <c r="J61" s="92">
        <f>(MAX(J59*J23,J$46*J60))*K46</f>
        <v>35563114.352410205</v>
      </c>
    </row>
    <row r="63" spans="3:11" x14ac:dyDescent="0.2">
      <c r="C63" s="78" t="s">
        <v>160</v>
      </c>
      <c r="J63" s="123">
        <f>J66</f>
        <v>281667475.2289871</v>
      </c>
      <c r="K63" s="115">
        <f>J63/J$91</f>
        <v>0.13128851221783508</v>
      </c>
    </row>
    <row r="64" spans="3:11" x14ac:dyDescent="0.2">
      <c r="C64" s="72">
        <v>11</v>
      </c>
      <c r="D64" t="s">
        <v>228</v>
      </c>
      <c r="H64" s="61" t="s">
        <v>162</v>
      </c>
      <c r="J64" s="119">
        <f>Customer.care.line.STAR.per.staff</f>
        <v>332</v>
      </c>
    </row>
    <row r="65" spans="3:11" x14ac:dyDescent="0.2">
      <c r="C65" s="72">
        <f>1+C64</f>
        <v>12</v>
      </c>
      <c r="D65" t="s">
        <v>229</v>
      </c>
      <c r="H65" s="61" t="s">
        <v>163</v>
      </c>
      <c r="J65" s="119">
        <f>Monthly.cost.per.staff</f>
        <v>27113</v>
      </c>
    </row>
    <row r="66" spans="3:11" x14ac:dyDescent="0.2">
      <c r="C66" s="72">
        <f>1+C65</f>
        <v>13</v>
      </c>
      <c r="D66" t="s">
        <v>230</v>
      </c>
      <c r="H66" t="s">
        <v>221</v>
      </c>
      <c r="J66" s="92">
        <f>J9/J64*J65*12*K46</f>
        <v>281667475.2289871</v>
      </c>
    </row>
    <row r="68" spans="3:11" x14ac:dyDescent="0.2">
      <c r="C68" s="78" t="s">
        <v>165</v>
      </c>
      <c r="J68" s="123">
        <f>J80</f>
        <v>931978302.56851435</v>
      </c>
      <c r="K68" s="115">
        <f>J68/J$91</f>
        <v>0.43440601249416605</v>
      </c>
    </row>
    <row r="69" spans="3:11" x14ac:dyDescent="0.2">
      <c r="C69" s="121">
        <f>1+C66</f>
        <v>14</v>
      </c>
      <c r="D69" s="78" t="s">
        <v>231</v>
      </c>
      <c r="H69" t="s">
        <v>244</v>
      </c>
      <c r="J69" s="92">
        <f>J9/Customer.care.line.STAR.per.staff</f>
        <v>1713.0180722891566</v>
      </c>
    </row>
    <row r="70" spans="3:11" x14ac:dyDescent="0.2">
      <c r="C70" s="72">
        <f>1+C69</f>
        <v>15</v>
      </c>
      <c r="D70" s="79" t="s">
        <v>181</v>
      </c>
      <c r="H70" s="61" t="s">
        <v>138</v>
      </c>
      <c r="J70" s="117">
        <f>Admin.staff.per.customer.care.staff</f>
        <v>0.02</v>
      </c>
    </row>
    <row r="71" spans="3:11" x14ac:dyDescent="0.2">
      <c r="C71" s="72">
        <f>1+C70</f>
        <v>16</v>
      </c>
      <c r="D71" s="79" t="s">
        <v>232</v>
      </c>
      <c r="H71" t="s">
        <v>244</v>
      </c>
      <c r="J71" s="92">
        <f>J69*J70</f>
        <v>34.260361445783133</v>
      </c>
    </row>
    <row r="72" spans="3:11" x14ac:dyDescent="0.2">
      <c r="C72" s="72">
        <f>1+C71</f>
        <v>17</v>
      </c>
      <c r="D72" s="79" t="s">
        <v>233</v>
      </c>
      <c r="H72" t="s">
        <v>244</v>
      </c>
      <c r="J72" s="92">
        <f>(J69+J71)*K46</f>
        <v>883.03527438733818</v>
      </c>
    </row>
    <row r="74" spans="3:11" x14ac:dyDescent="0.2">
      <c r="C74" s="72">
        <f>1+C72</f>
        <v>18</v>
      </c>
      <c r="D74" s="78" t="s">
        <v>234</v>
      </c>
    </row>
    <row r="75" spans="3:11" ht="13.5" x14ac:dyDescent="0.2">
      <c r="C75" s="72">
        <f>1+C74</f>
        <v>19</v>
      </c>
      <c r="D75" s="79" t="s">
        <v>235</v>
      </c>
      <c r="E75" s="79"/>
      <c r="H75" s="61" t="s">
        <v>183</v>
      </c>
      <c r="J75" s="119">
        <f>Floorspace.per.staff</f>
        <v>69</v>
      </c>
    </row>
    <row r="76" spans="3:11" x14ac:dyDescent="0.2">
      <c r="C76" s="72">
        <f>1+C75</f>
        <v>20</v>
      </c>
      <c r="D76" s="79" t="s">
        <v>236</v>
      </c>
      <c r="E76" s="79"/>
      <c r="H76" s="61" t="s">
        <v>256</v>
      </c>
      <c r="J76" s="119">
        <f>Rent.per.sqm</f>
        <v>1171</v>
      </c>
    </row>
    <row r="77" spans="3:11" x14ac:dyDescent="0.2">
      <c r="C77" s="72">
        <f>1+C76</f>
        <v>21</v>
      </c>
      <c r="D77" s="79" t="s">
        <v>234</v>
      </c>
      <c r="H77" t="s">
        <v>221</v>
      </c>
      <c r="J77" s="92">
        <f>J72*J76*J75*12</f>
        <v>856180405.62267041</v>
      </c>
    </row>
    <row r="79" spans="3:11" x14ac:dyDescent="0.2">
      <c r="C79" s="72">
        <f>1+C77</f>
        <v>22</v>
      </c>
      <c r="D79" s="78" t="s">
        <v>237</v>
      </c>
      <c r="H79" s="61" t="s">
        <v>138</v>
      </c>
      <c r="J79" s="133">
        <f>Admin.costs</f>
        <v>3.7699999999999997E-2</v>
      </c>
      <c r="K79" s="211"/>
    </row>
    <row r="80" spans="3:11" x14ac:dyDescent="0.2">
      <c r="C80" s="72">
        <f>1+C79</f>
        <v>23</v>
      </c>
      <c r="D80" s="79" t="s">
        <v>165</v>
      </c>
      <c r="H80" t="s">
        <v>221</v>
      </c>
      <c r="J80" s="92">
        <f>J77+J79*J$46</f>
        <v>931978302.56851435</v>
      </c>
    </row>
    <row r="82" spans="3:11" x14ac:dyDescent="0.2">
      <c r="C82" s="78" t="s">
        <v>168</v>
      </c>
    </row>
    <row r="83" spans="3:11" x14ac:dyDescent="0.2">
      <c r="C83" s="72">
        <f>1+C80</f>
        <v>24</v>
      </c>
      <c r="D83" t="s">
        <v>168</v>
      </c>
      <c r="H83" s="61" t="s">
        <v>138</v>
      </c>
      <c r="J83" s="148">
        <f>Retail.profit</f>
        <v>0.10970000000000001</v>
      </c>
      <c r="K83" s="115">
        <f>SUM(K50,K54,K63,K68)*J83</f>
        <v>6.2735199582994575E-2</v>
      </c>
    </row>
    <row r="85" spans="3:11" x14ac:dyDescent="0.2">
      <c r="C85" s="78" t="s">
        <v>248</v>
      </c>
    </row>
    <row r="86" spans="3:11" x14ac:dyDescent="0.2">
      <c r="C86" s="72">
        <f>1+C83</f>
        <v>25</v>
      </c>
      <c r="D86" t="s">
        <v>242</v>
      </c>
      <c r="H86" t="s">
        <v>221</v>
      </c>
      <c r="J86" s="124">
        <f>J43-J44</f>
        <v>134854091.35497046</v>
      </c>
      <c r="K86" s="115">
        <f>J86/J91</f>
        <v>6.2857072887413171E-2</v>
      </c>
    </row>
    <row r="87" spans="3:11" x14ac:dyDescent="0.2">
      <c r="C87" s="72">
        <f>1+C86</f>
        <v>26</v>
      </c>
      <c r="D87" t="s">
        <v>238</v>
      </c>
      <c r="H87" t="s">
        <v>221</v>
      </c>
      <c r="J87" s="123">
        <f>SUM(J50,J54,J63,J68,J58)*(1+J83)+J86</f>
        <v>1535826538.8461225</v>
      </c>
    </row>
    <row r="90" spans="3:11" x14ac:dyDescent="0.2">
      <c r="C90" s="78" t="s">
        <v>243</v>
      </c>
    </row>
    <row r="91" spans="3:11" x14ac:dyDescent="0.2">
      <c r="C91" s="72">
        <f>1+C87</f>
        <v>27</v>
      </c>
      <c r="D91" t="s">
        <v>247</v>
      </c>
      <c r="H91" t="s">
        <v>221</v>
      </c>
      <c r="J91" s="92">
        <f>J41+J43</f>
        <v>2145408387.000699</v>
      </c>
    </row>
    <row r="92" spans="3:11" x14ac:dyDescent="0.2">
      <c r="C92" s="72">
        <f>1+C91</f>
        <v>28</v>
      </c>
      <c r="D92" t="s">
        <v>245</v>
      </c>
      <c r="H92" t="s">
        <v>221</v>
      </c>
      <c r="J92" s="119">
        <f>J87</f>
        <v>1535826538.8461225</v>
      </c>
    </row>
    <row r="93" spans="3:11" x14ac:dyDescent="0.2">
      <c r="C93" s="72">
        <f>1+C92</f>
        <v>29</v>
      </c>
      <c r="D93" t="s">
        <v>246</v>
      </c>
      <c r="H93" t="s">
        <v>221</v>
      </c>
      <c r="J93" s="92">
        <f>J91-J92</f>
        <v>609581848.15457654</v>
      </c>
    </row>
    <row r="95" spans="3:11" x14ac:dyDescent="0.2">
      <c r="C95" s="78" t="s">
        <v>250</v>
      </c>
      <c r="H95" s="61" t="s">
        <v>138</v>
      </c>
      <c r="J95" s="208">
        <f>J92/J91</f>
        <v>0.71586675439132708</v>
      </c>
      <c r="K95" s="41" t="s">
        <v>470</v>
      </c>
    </row>
    <row r="96" spans="3:11" x14ac:dyDescent="0.2">
      <c r="C96" s="72">
        <v>30</v>
      </c>
      <c r="D96" s="79" t="s">
        <v>254</v>
      </c>
      <c r="H96" s="61" t="s">
        <v>138</v>
      </c>
      <c r="J96" s="125">
        <f>J86/J91</f>
        <v>6.2857072887413171E-2</v>
      </c>
      <c r="K96" s="41"/>
    </row>
    <row r="97" spans="1:53" x14ac:dyDescent="0.2">
      <c r="C97" s="72">
        <f>1+C96</f>
        <v>31</v>
      </c>
      <c r="D97" s="79" t="s">
        <v>249</v>
      </c>
      <c r="H97" s="61" t="s">
        <v>138</v>
      </c>
      <c r="J97" s="125">
        <f>J95-J96</f>
        <v>0.65300968150391392</v>
      </c>
      <c r="K97" s="41" t="s">
        <v>471</v>
      </c>
    </row>
    <row r="99" spans="1:53" x14ac:dyDescent="0.2">
      <c r="A99" s="76" t="s">
        <v>150</v>
      </c>
      <c r="B99" s="76" t="s">
        <v>149</v>
      </c>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row>
    <row r="102" spans="1:53" x14ac:dyDescent="0.2">
      <c r="J102" s="87"/>
    </row>
  </sheetData>
  <dataValidations count="1">
    <dataValidation type="list" allowBlank="1" showInputMessage="1" showErrorMessage="1" sqref="J41" xr:uid="{00000000-0002-0000-0A00-000000000000}">
      <formula1>$Q$43:$Q$46</formula1>
    </dataValidation>
  </dataValidations>
  <pageMargins left="0.7" right="0.7" top="0.75" bottom="0.75" header="0.3" footer="0.3"/>
  <pageSetup orientation="portrait" r:id="rId1"/>
  <ignoredErrors>
    <ignoredError sqref="J11:M11 C63 J10:L10 J14:M16 K18:M18 K17:M17 J35:M37 J42:M42 L41:M41 J51:L51 K50:L50 J52:L53 J69:L71 L68 J67:L67 J72:L76 J77:L78 J88:L90 L86 K87:L87 K96:L96 J47:M49 L46 J56:L57 K65:L66 J64:L64 J45:M45 L43 J94:L94 K91:L93 K44:L44 J80:L85 J20:M25 K19:M19 J39:M40 J55:L55 J54 L54 K63:L63 C44:C45 J28:M34 K26:M26 K27:M27 J13:M13 J12:K12 M12 K38:M38 C47:C57 C65:C95 C97 J79 L79 C59:C61 J17:J19 J26:J27 J43:J44 J61 J66 J91 J93 J96:J97 L95 L97 M43:M44" unlocked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22306-7BB4-4EE9-A221-2F8EB8ADBD5C}">
  <sheetPr codeName="Hoja6">
    <tabColor rgb="FF00B050"/>
  </sheetPr>
  <dimension ref="A1:BE108"/>
  <sheetViews>
    <sheetView showGridLines="0" tabSelected="1" zoomScaleNormal="100" workbookViewId="0">
      <selection sqref="A1:XFD1048576"/>
    </sheetView>
  </sheetViews>
  <sheetFormatPr baseColWidth="10" defaultColWidth="11.140625" defaultRowHeight="12" x14ac:dyDescent="0.2"/>
  <cols>
    <col min="1" max="1" width="16.5703125" customWidth="1"/>
    <col min="2" max="2" width="17.5703125" customWidth="1"/>
    <col min="3" max="3" width="6" customWidth="1"/>
    <col min="4" max="4" width="74.5703125" customWidth="1"/>
    <col min="5" max="5" width="31.7109375" customWidth="1"/>
    <col min="6" max="6" width="21.7109375" customWidth="1"/>
    <col min="7" max="8" width="19.85546875" customWidth="1"/>
    <col min="9" max="9" width="17.140625" customWidth="1"/>
    <col min="10" max="10" width="24.5703125" bestFit="1" customWidth="1"/>
    <col min="11" max="14" width="18.28515625" customWidth="1"/>
    <col min="15" max="15" width="31.7109375" customWidth="1"/>
    <col min="16" max="17" width="18.28515625" customWidth="1"/>
  </cols>
  <sheetData>
    <row r="1" spans="1:57" s="71" customFormat="1" ht="27.75" x14ac:dyDescent="0.2">
      <c r="D1" s="71" t="s">
        <v>476</v>
      </c>
    </row>
    <row r="2" spans="1:57" x14ac:dyDescent="0.2">
      <c r="A2" s="76">
        <v>1</v>
      </c>
      <c r="B2" s="76" t="s">
        <v>480</v>
      </c>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row>
    <row r="3" spans="1:57" ht="12" customHeight="1" x14ac:dyDescent="0.2">
      <c r="A3" s="274" t="s">
        <v>497</v>
      </c>
      <c r="B3" s="274"/>
      <c r="F3" s="214">
        <v>6</v>
      </c>
      <c r="G3" s="214">
        <v>7</v>
      </c>
      <c r="H3" s="214"/>
      <c r="I3" s="214">
        <v>8</v>
      </c>
      <c r="J3" s="214">
        <v>9</v>
      </c>
      <c r="K3" s="214"/>
      <c r="L3" s="214"/>
      <c r="M3" s="214"/>
      <c r="N3" s="214">
        <v>10</v>
      </c>
      <c r="O3" s="214">
        <v>11</v>
      </c>
      <c r="P3" s="214"/>
    </row>
    <row r="4" spans="1:57" ht="24" x14ac:dyDescent="0.2">
      <c r="A4" s="266" t="s">
        <v>498</v>
      </c>
      <c r="B4" s="246" t="s">
        <v>499</v>
      </c>
    </row>
    <row r="5" spans="1:57" ht="15.6" customHeight="1" x14ac:dyDescent="0.2">
      <c r="A5" s="267">
        <v>0.44853554752727332</v>
      </c>
      <c r="B5" s="255" cm="1">
        <f t="array" aca="1" ref="B5" ca="1">INDIRECT(C5)</f>
        <v>0.65300968150391392</v>
      </c>
      <c r="C5" s="41" t="s">
        <v>471</v>
      </c>
    </row>
    <row r="8" spans="1:57" ht="24" x14ac:dyDescent="0.2">
      <c r="C8" s="1" t="s">
        <v>130</v>
      </c>
      <c r="D8" s="1" t="s">
        <v>140</v>
      </c>
      <c r="E8" s="1" t="s">
        <v>135</v>
      </c>
      <c r="F8" s="1" t="str">
        <f>"Precio minorista "&amp;Year.selected
&amp;" Sin impuestos"</f>
        <v>Precio minorista 2023 Sin impuestos</v>
      </c>
      <c r="G8" s="1"/>
      <c r="H8" s="1"/>
      <c r="I8" s="1"/>
      <c r="J8" s="1" t="s">
        <v>478</v>
      </c>
      <c r="K8" s="1"/>
      <c r="L8" s="1"/>
      <c r="M8" s="1"/>
      <c r="N8" s="1" t="s">
        <v>422</v>
      </c>
      <c r="O8" s="1" t="s">
        <v>137</v>
      </c>
    </row>
    <row r="9" spans="1:57" ht="12" customHeight="1" x14ac:dyDescent="0.2">
      <c r="C9" s="73">
        <v>1</v>
      </c>
      <c r="D9" s="140" t="s">
        <v>322</v>
      </c>
      <c r="E9" s="242" t="s">
        <v>477</v>
      </c>
      <c r="F9" s="243">
        <f>VLOOKUP($D9,Base!$B$6:$L$119,F$3,FALSE)</f>
        <v>250.25108804820891</v>
      </c>
      <c r="G9" s="248"/>
      <c r="H9" s="248"/>
      <c r="I9" s="248"/>
      <c r="J9" s="244">
        <f>F9*(1-retail.minus.line.STAR.retail.minus.items.only)</f>
        <v>86.834704745840085</v>
      </c>
      <c r="K9" s="248"/>
      <c r="L9" s="251">
        <f>INDEX(vector.users.STAR,MATCH(D9,vector.plans.names,0))</f>
        <v>682.46639999999991</v>
      </c>
      <c r="M9" s="250">
        <f>L9/SUM($L$9:$L$12)</f>
        <v>0.44444444444444442</v>
      </c>
      <c r="N9" s="249">
        <f>VLOOKUP($D9,Base!$B$6:$L$119,O$3,FALSE)</f>
        <v>93.857142857142861</v>
      </c>
    </row>
    <row r="10" spans="1:57" x14ac:dyDescent="0.2">
      <c r="C10" s="73">
        <v>3</v>
      </c>
      <c r="D10" s="140" t="s">
        <v>403</v>
      </c>
      <c r="E10" s="242" t="s">
        <v>477</v>
      </c>
      <c r="F10" s="243">
        <f>VLOOKUP($D10,Base!$B$6:$L$119,F$3,FALSE)</f>
        <v>250.25108804820891</v>
      </c>
      <c r="G10" s="248"/>
      <c r="H10" s="248"/>
      <c r="I10" s="248"/>
      <c r="J10" s="244">
        <f>F10*(1-retail.minus.line.STAR.retail.minus.items.only)</f>
        <v>86.834704745840085</v>
      </c>
      <c r="K10" s="248"/>
      <c r="L10" s="251">
        <f>INDEX(vector.users.STAR,MATCH(D10,vector.plans.names,0))</f>
        <v>56.872199999999999</v>
      </c>
      <c r="M10" s="250">
        <f t="shared" ref="M10:M12" si="0">L10/SUM($L$9:$L$12)</f>
        <v>3.7037037037037042E-2</v>
      </c>
      <c r="N10" s="249">
        <f>VLOOKUP($D10,Base!$B$6:$L$119,O$3,FALSE)</f>
        <v>93.857142857142861</v>
      </c>
    </row>
    <row r="11" spans="1:57" ht="12" customHeight="1" x14ac:dyDescent="0.2">
      <c r="C11" s="73">
        <v>2</v>
      </c>
      <c r="D11" s="140" t="s">
        <v>267</v>
      </c>
      <c r="E11" s="242" t="s">
        <v>477</v>
      </c>
      <c r="F11" s="243">
        <f>VLOOKUP($D11,Base!$B$6:$L$119,F$3,FALSE)</f>
        <v>300.46869768998994</v>
      </c>
      <c r="G11" s="248"/>
      <c r="H11" s="248"/>
      <c r="I11" s="248"/>
      <c r="J11" s="244">
        <f>F11*(1-retail.minus.line.STAR.retail.minus.items.only)</f>
        <v>104.25972910955382</v>
      </c>
      <c r="K11" s="248"/>
      <c r="L11" s="251">
        <f>INDEX(vector.users.STAR,MATCH(D11,vector.plans.names,0))</f>
        <v>739.33859999999993</v>
      </c>
      <c r="M11" s="250">
        <f t="shared" si="0"/>
        <v>0.48148148148148145</v>
      </c>
      <c r="N11" s="249">
        <f>VLOOKUP($D11,Base!$B$6:$L$119,O$3,FALSE)</f>
        <v>153</v>
      </c>
    </row>
    <row r="12" spans="1:57" x14ac:dyDescent="0.2">
      <c r="C12" s="73">
        <v>4</v>
      </c>
      <c r="D12" s="140" t="s">
        <v>402</v>
      </c>
      <c r="E12" s="242" t="s">
        <v>477</v>
      </c>
      <c r="F12" s="243">
        <f>VLOOKUP($D12,Base!$B$6:$L$119,F$3,FALSE)</f>
        <v>300.46869768998994</v>
      </c>
      <c r="G12" s="248"/>
      <c r="H12" s="248"/>
      <c r="I12" s="248"/>
      <c r="J12" s="244">
        <f>F12*(1-retail.minus.line.STAR.retail.minus.items.only)</f>
        <v>104.25972910955382</v>
      </c>
      <c r="K12" s="248"/>
      <c r="L12" s="251">
        <f>INDEX(vector.users.STAR,MATCH(D12,vector.plans.names,0))</f>
        <v>56.872199999999999</v>
      </c>
      <c r="M12" s="250">
        <f t="shared" si="0"/>
        <v>3.7037037037037042E-2</v>
      </c>
      <c r="N12" s="249">
        <f>VLOOKUP($D12,Base!$B$6:$L$119,O$3,FALSE)</f>
        <v>153</v>
      </c>
    </row>
    <row r="13" spans="1:57" ht="15.6" customHeight="1" x14ac:dyDescent="0.2">
      <c r="J13" s="252" t="s">
        <v>490</v>
      </c>
      <c r="K13" s="254">
        <f>retail.minus.line.STAR.retail.minus.items.only</f>
        <v>0.65300968150391392</v>
      </c>
    </row>
    <row r="14" spans="1:57" ht="15.6" customHeight="1" x14ac:dyDescent="0.2"/>
    <row r="15" spans="1:57" ht="15.6" customHeight="1" x14ac:dyDescent="0.2"/>
    <row r="17" spans="1:57" ht="12" customHeight="1" x14ac:dyDescent="0.2">
      <c r="A17" s="76">
        <v>2</v>
      </c>
      <c r="B17" s="76" t="s">
        <v>488</v>
      </c>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row>
    <row r="18" spans="1:57" x14ac:dyDescent="0.2">
      <c r="A18" s="274" t="s">
        <v>497</v>
      </c>
      <c r="B18" s="274"/>
    </row>
    <row r="19" spans="1:57" ht="24" x14ac:dyDescent="0.2">
      <c r="A19" s="266" t="s">
        <v>498</v>
      </c>
      <c r="B19" s="246" t="s">
        <v>499</v>
      </c>
    </row>
    <row r="20" spans="1:57" ht="15.75" x14ac:dyDescent="0.2">
      <c r="A20" s="267">
        <v>0.19742028521192004</v>
      </c>
      <c r="B20" s="255" cm="1">
        <f t="array" aca="1" ref="B20" ca="1">INDIRECT(C20)</f>
        <v>0.29441614056036336</v>
      </c>
      <c r="C20" s="41" t="s">
        <v>483</v>
      </c>
    </row>
    <row r="21" spans="1:57" ht="12" customHeight="1" x14ac:dyDescent="0.2">
      <c r="G21" s="245" t="s">
        <v>479</v>
      </c>
      <c r="H21" s="58"/>
      <c r="I21" s="58"/>
    </row>
    <row r="22" spans="1:57" ht="24" x14ac:dyDescent="0.2">
      <c r="C22" s="1" t="s">
        <v>130</v>
      </c>
      <c r="D22" s="1" t="s">
        <v>140</v>
      </c>
      <c r="E22" s="1" t="s">
        <v>135</v>
      </c>
      <c r="F22" s="1" t="str">
        <f>"Precio minorista "&amp;Year.selected
&amp;" Sin impuestos"</f>
        <v>Precio minorista 2023 Sin impuestos</v>
      </c>
      <c r="G22" s="246" t="s">
        <v>415</v>
      </c>
      <c r="H22" s="246" t="s">
        <v>437</v>
      </c>
      <c r="I22" s="246" t="s">
        <v>265</v>
      </c>
      <c r="J22" s="1" t="s">
        <v>478</v>
      </c>
      <c r="K22" s="1" t="s">
        <v>138</v>
      </c>
      <c r="L22" s="1" t="s">
        <v>482</v>
      </c>
      <c r="M22" s="1" t="s">
        <v>487</v>
      </c>
      <c r="N22" s="1" t="s">
        <v>422</v>
      </c>
      <c r="O22" s="1" t="s">
        <v>137</v>
      </c>
    </row>
    <row r="23" spans="1:57" ht="12" customHeight="1" x14ac:dyDescent="0.2">
      <c r="C23" s="73">
        <v>1</v>
      </c>
      <c r="D23" s="140" t="s">
        <v>330</v>
      </c>
      <c r="E23" s="242" t="s">
        <v>477</v>
      </c>
      <c r="F23" s="243">
        <f>VLOOKUP($D23,Base!$B$6:$L$119,F$3,FALSE)</f>
        <v>502.17609641781053</v>
      </c>
      <c r="G23" s="247">
        <f>INDEX(vector.implicit.prices.STAR.after.discount,MATCH(D23,vector.plans.names,0))</f>
        <v>241.28838691350307</v>
      </c>
      <c r="H23" s="247">
        <f t="shared" ref="H23:H58" si="1">INDEX(instalación,MATCH(D23,vector.plans.names,0))</f>
        <v>18.642907592399016</v>
      </c>
      <c r="I23" s="247">
        <f t="shared" ref="I23:I58" si="2">INDEX(vector.implicit.prices.otherservices.after.discount,MATCH($D23,vector.plans.names,0))</f>
        <v>242.24480191190844</v>
      </c>
      <c r="J23" s="244">
        <f t="shared" ref="J23:J58" si="3">G23*(1-retail.minus.line.STAR.retail.minus.items.only)+H23+I23</f>
        <v>344.61244372883073</v>
      </c>
      <c r="K23" s="250">
        <f t="shared" ref="K23:K58" si="4">1-J23/F23</f>
        <v>0.31376175372132176</v>
      </c>
      <c r="L23" s="251">
        <f t="shared" ref="L23:L58" si="5">INDEX(vector.users.STAR,MATCH(D23,vector.plans.names,0))</f>
        <v>8587.7021999999997</v>
      </c>
      <c r="M23" s="250">
        <f>L23/SUM($L$23:$L$58)</f>
        <v>0.24433656957928807</v>
      </c>
      <c r="N23" s="249">
        <f>VLOOKUP($D23,Base!$B$6:$L$119,O$3,FALSE)</f>
        <v>103.11111111111111</v>
      </c>
    </row>
    <row r="24" spans="1:57" x14ac:dyDescent="0.2">
      <c r="C24" s="73">
        <v>2</v>
      </c>
      <c r="D24" s="140" t="s">
        <v>323</v>
      </c>
      <c r="E24" s="242" t="s">
        <v>477</v>
      </c>
      <c r="F24" s="243">
        <f>VLOOKUP($D24,Base!$B$6:$L$119,F$3,FALSE)</f>
        <v>502.17609641781053</v>
      </c>
      <c r="G24" s="247">
        <f>INDEX(vector.implicit.prices.STAR.after.discount,MATCH($D24,vector.plans.names,0))</f>
        <v>231.65975960169894</v>
      </c>
      <c r="H24" s="247">
        <f t="shared" si="1"/>
        <v>18.591328446510154</v>
      </c>
      <c r="I24" s="247">
        <f t="shared" si="2"/>
        <v>251.92500836960147</v>
      </c>
      <c r="J24" s="244">
        <f t="shared" si="3"/>
        <v>350.90003058303188</v>
      </c>
      <c r="K24" s="250">
        <f t="shared" si="4"/>
        <v>0.30124107243232257</v>
      </c>
      <c r="L24" s="251">
        <f t="shared" si="5"/>
        <v>284.36099999999999</v>
      </c>
      <c r="M24" s="250">
        <f t="shared" ref="M24:M58" si="6">L24/SUM($L$23:$L$58)</f>
        <v>8.0906148867313926E-3</v>
      </c>
      <c r="N24" s="249">
        <f>VLOOKUP($D24,Base!$B$6:$L$119,O$3,FALSE)</f>
        <v>93.857142857142861</v>
      </c>
    </row>
    <row r="25" spans="1:57" ht="12" customHeight="1" x14ac:dyDescent="0.2">
      <c r="C25" s="73">
        <v>3</v>
      </c>
      <c r="D25" s="140" t="s">
        <v>326</v>
      </c>
      <c r="E25" s="242" t="s">
        <v>477</v>
      </c>
      <c r="F25" s="243">
        <f>VLOOKUP($D25,Base!$B$6:$L$119,F$3,FALSE)</f>
        <v>585.87211248744552</v>
      </c>
      <c r="G25" s="247">
        <f>INDEX(vector.implicit.prices.STAR.after.discount,MATCH($D25,vector.plans.names,0))</f>
        <v>231.65975960169894</v>
      </c>
      <c r="H25" s="247">
        <f t="shared" si="1"/>
        <v>18.591328446510154</v>
      </c>
      <c r="I25" s="247">
        <f t="shared" si="2"/>
        <v>335.62102443923646</v>
      </c>
      <c r="J25" s="244">
        <f t="shared" si="3"/>
        <v>434.59604665266687</v>
      </c>
      <c r="K25" s="250">
        <f t="shared" si="4"/>
        <v>0.25820663351341933</v>
      </c>
      <c r="L25" s="251">
        <f t="shared" si="5"/>
        <v>7677.7470000000003</v>
      </c>
      <c r="M25" s="250">
        <f t="shared" si="6"/>
        <v>0.21844660194174764</v>
      </c>
      <c r="N25" s="249">
        <f>VLOOKUP($D25,Base!$B$6:$L$119,O$3,FALSE)</f>
        <v>93.857142857142861</v>
      </c>
    </row>
    <row r="26" spans="1:57" x14ac:dyDescent="0.2">
      <c r="C26" s="73">
        <v>4</v>
      </c>
      <c r="D26" s="140" t="s">
        <v>328</v>
      </c>
      <c r="E26" s="242" t="s">
        <v>477</v>
      </c>
      <c r="F26" s="243">
        <f>VLOOKUP($D26,Base!$B$6:$L$119,F$3,FALSE)</f>
        <v>669.56812855708074</v>
      </c>
      <c r="G26" s="247">
        <f>INDEX(vector.implicit.prices.STAR.after.discount,MATCH($D26,vector.plans.names,0))</f>
        <v>231.65975960169894</v>
      </c>
      <c r="H26" s="247">
        <f t="shared" si="1"/>
        <v>18.591328446510154</v>
      </c>
      <c r="I26" s="247">
        <f t="shared" si="2"/>
        <v>419.31704050887168</v>
      </c>
      <c r="J26" s="244">
        <f t="shared" si="3"/>
        <v>518.29206272230203</v>
      </c>
      <c r="K26" s="250">
        <f t="shared" si="4"/>
        <v>0.22593080432424195</v>
      </c>
      <c r="L26" s="251">
        <f t="shared" si="5"/>
        <v>113.7444</v>
      </c>
      <c r="M26" s="250">
        <f t="shared" si="6"/>
        <v>3.2362459546925572E-3</v>
      </c>
      <c r="N26" s="249">
        <f>VLOOKUP($D26,Base!$B$6:$L$119,O$3,FALSE)</f>
        <v>93.857142857142861</v>
      </c>
    </row>
    <row r="27" spans="1:57" ht="12" customHeight="1" x14ac:dyDescent="0.2">
      <c r="C27" s="73">
        <v>5</v>
      </c>
      <c r="D27" s="140" t="s">
        <v>325</v>
      </c>
      <c r="E27" s="242" t="s">
        <v>477</v>
      </c>
      <c r="F27" s="243">
        <f>VLOOKUP($D27,Base!$B$6:$L$119,F$3,FALSE)</f>
        <v>753.26414462671585</v>
      </c>
      <c r="G27" s="247">
        <f t="shared" ref="G27:G58" si="7">INDEX(vector.implicit.prices.STAR.after.discount,MATCH($D27,vector.plans.names,0))</f>
        <v>231.65975960169894</v>
      </c>
      <c r="H27" s="247">
        <f t="shared" si="1"/>
        <v>18.591328446510154</v>
      </c>
      <c r="I27" s="247">
        <f t="shared" si="2"/>
        <v>503.01305657850679</v>
      </c>
      <c r="J27" s="244">
        <f t="shared" si="3"/>
        <v>601.98807879193714</v>
      </c>
      <c r="K27" s="250">
        <f t="shared" si="4"/>
        <v>0.20082738162154845</v>
      </c>
      <c r="L27" s="251">
        <f t="shared" si="5"/>
        <v>0</v>
      </c>
      <c r="M27" s="250">
        <f t="shared" si="6"/>
        <v>0</v>
      </c>
      <c r="N27" s="249">
        <f>VLOOKUP($D27,Base!$B$6:$L$119,O$3,FALSE)</f>
        <v>93.857142857142861</v>
      </c>
    </row>
    <row r="28" spans="1:57" x14ac:dyDescent="0.2">
      <c r="C28" s="73">
        <v>6</v>
      </c>
      <c r="D28" s="140" t="s">
        <v>331</v>
      </c>
      <c r="E28" s="242" t="s">
        <v>477</v>
      </c>
      <c r="F28" s="243">
        <f>VLOOKUP($D28,Base!$B$6:$L$119,F$3,FALSE)</f>
        <v>585.87211248744552</v>
      </c>
      <c r="G28" s="247">
        <f t="shared" si="7"/>
        <v>241.28838691350307</v>
      </c>
      <c r="H28" s="247">
        <f t="shared" si="1"/>
        <v>18.642907592399016</v>
      </c>
      <c r="I28" s="247">
        <f t="shared" si="2"/>
        <v>325.94081798154343</v>
      </c>
      <c r="J28" s="244">
        <f t="shared" si="3"/>
        <v>428.30845979846572</v>
      </c>
      <c r="K28" s="250">
        <f t="shared" si="4"/>
        <v>0.26893864604684725</v>
      </c>
      <c r="L28" s="251">
        <f t="shared" si="5"/>
        <v>56.872199999999999</v>
      </c>
      <c r="M28" s="250">
        <f t="shared" si="6"/>
        <v>1.6181229773462786E-3</v>
      </c>
      <c r="N28" s="249">
        <f>VLOOKUP($D28,Base!$B$6:$L$119,O$3,FALSE)</f>
        <v>103.11111111111111</v>
      </c>
    </row>
    <row r="29" spans="1:57" ht="12" customHeight="1" x14ac:dyDescent="0.2">
      <c r="C29" s="73">
        <v>7</v>
      </c>
      <c r="D29" s="140" t="s">
        <v>324</v>
      </c>
      <c r="E29" s="242" t="s">
        <v>477</v>
      </c>
      <c r="F29" s="243">
        <f>VLOOKUP($D29,Base!$B$6:$L$119,F$3,FALSE)</f>
        <v>585.87211248744552</v>
      </c>
      <c r="G29" s="247">
        <f t="shared" si="7"/>
        <v>231.65975960169894</v>
      </c>
      <c r="H29" s="247">
        <f t="shared" si="1"/>
        <v>18.591328446510154</v>
      </c>
      <c r="I29" s="247">
        <f t="shared" si="2"/>
        <v>335.62102443923646</v>
      </c>
      <c r="J29" s="244">
        <f t="shared" si="3"/>
        <v>434.59604665266687</v>
      </c>
      <c r="K29" s="250">
        <f t="shared" si="4"/>
        <v>0.25820663351341933</v>
      </c>
      <c r="L29" s="251">
        <f t="shared" si="5"/>
        <v>0</v>
      </c>
      <c r="M29" s="250">
        <f t="shared" si="6"/>
        <v>0</v>
      </c>
      <c r="N29" s="249">
        <f>VLOOKUP($D29,Base!$B$6:$L$119,O$3,FALSE)</f>
        <v>93.857142857142861</v>
      </c>
    </row>
    <row r="30" spans="1:57" x14ac:dyDescent="0.2">
      <c r="C30" s="73">
        <v>8</v>
      </c>
      <c r="D30" s="140" t="s">
        <v>327</v>
      </c>
      <c r="E30" s="242" t="s">
        <v>477</v>
      </c>
      <c r="F30" s="243">
        <f>VLOOKUP($D30,Base!$B$6:$L$119,F$3,FALSE)</f>
        <v>669.56812855708074</v>
      </c>
      <c r="G30" s="247">
        <f t="shared" si="7"/>
        <v>231.65975960169894</v>
      </c>
      <c r="H30" s="247">
        <f t="shared" si="1"/>
        <v>18.591328446510154</v>
      </c>
      <c r="I30" s="247">
        <f t="shared" si="2"/>
        <v>419.31704050887168</v>
      </c>
      <c r="J30" s="244">
        <f t="shared" si="3"/>
        <v>518.29206272230203</v>
      </c>
      <c r="K30" s="250">
        <f t="shared" si="4"/>
        <v>0.22593080432424195</v>
      </c>
      <c r="L30" s="251">
        <f t="shared" si="5"/>
        <v>0</v>
      </c>
      <c r="M30" s="250">
        <f t="shared" si="6"/>
        <v>0</v>
      </c>
      <c r="N30" s="249">
        <f>VLOOKUP($D30,Base!$B$6:$L$119,O$3,FALSE)</f>
        <v>93.857142857142861</v>
      </c>
    </row>
    <row r="31" spans="1:57" ht="12" customHeight="1" x14ac:dyDescent="0.2">
      <c r="C31" s="73">
        <v>9</v>
      </c>
      <c r="D31" s="140" t="s">
        <v>329</v>
      </c>
      <c r="E31" s="242" t="s">
        <v>477</v>
      </c>
      <c r="F31" s="243">
        <f>VLOOKUP($D31,Base!$B$6:$L$119,F$3,FALSE)</f>
        <v>753.26414462671585</v>
      </c>
      <c r="G31" s="247">
        <f t="shared" si="7"/>
        <v>231.65975960169894</v>
      </c>
      <c r="H31" s="247">
        <f t="shared" si="1"/>
        <v>18.591328446510154</v>
      </c>
      <c r="I31" s="247">
        <f t="shared" si="2"/>
        <v>503.01305657850679</v>
      </c>
      <c r="J31" s="244">
        <f t="shared" si="3"/>
        <v>601.98807879193714</v>
      </c>
      <c r="K31" s="250">
        <f t="shared" si="4"/>
        <v>0.20082738162154845</v>
      </c>
      <c r="L31" s="251">
        <f t="shared" si="5"/>
        <v>0</v>
      </c>
      <c r="M31" s="250">
        <f t="shared" si="6"/>
        <v>0</v>
      </c>
      <c r="N31" s="249">
        <f>VLOOKUP($D31,Base!$B$6:$L$119,O$3,FALSE)</f>
        <v>93.857142857142861</v>
      </c>
    </row>
    <row r="32" spans="1:57" x14ac:dyDescent="0.2">
      <c r="C32" s="73">
        <v>10</v>
      </c>
      <c r="D32" s="140" t="s">
        <v>357</v>
      </c>
      <c r="E32" s="242" t="s">
        <v>477</v>
      </c>
      <c r="F32" s="243">
        <f>VLOOKUP($D32,Base!$B$6:$L$119,F$3,FALSE)</f>
        <v>502.17609641781053</v>
      </c>
      <c r="G32" s="247">
        <f t="shared" si="7"/>
        <v>241.28838691350307</v>
      </c>
      <c r="H32" s="247">
        <f t="shared" si="1"/>
        <v>18.642907592399016</v>
      </c>
      <c r="I32" s="247">
        <f t="shared" si="2"/>
        <v>242.24480191190844</v>
      </c>
      <c r="J32" s="244">
        <f t="shared" si="3"/>
        <v>344.61244372883073</v>
      </c>
      <c r="K32" s="250">
        <f t="shared" si="4"/>
        <v>0.31376175372132176</v>
      </c>
      <c r="L32" s="251">
        <f t="shared" si="5"/>
        <v>3981.0540000000001</v>
      </c>
      <c r="M32" s="250">
        <f t="shared" si="6"/>
        <v>0.11326860841423951</v>
      </c>
      <c r="N32" s="249">
        <f>VLOOKUP($D32,Base!$B$6:$L$119,O$3,FALSE)</f>
        <v>103.11111111111111</v>
      </c>
    </row>
    <row r="33" spans="3:14" ht="12" customHeight="1" x14ac:dyDescent="0.2">
      <c r="C33" s="73">
        <v>11</v>
      </c>
      <c r="D33" s="140" t="s">
        <v>350</v>
      </c>
      <c r="E33" s="242" t="s">
        <v>477</v>
      </c>
      <c r="F33" s="243">
        <f>VLOOKUP($D33,Base!$B$6:$L$119,F$3,FALSE)</f>
        <v>502.17609641781053</v>
      </c>
      <c r="G33" s="247">
        <f t="shared" si="7"/>
        <v>231.65975960169894</v>
      </c>
      <c r="H33" s="247">
        <f t="shared" si="1"/>
        <v>18.591328446510154</v>
      </c>
      <c r="I33" s="247">
        <f t="shared" si="2"/>
        <v>251.92500836960147</v>
      </c>
      <c r="J33" s="244">
        <f t="shared" si="3"/>
        <v>350.90003058303188</v>
      </c>
      <c r="K33" s="250">
        <f t="shared" si="4"/>
        <v>0.30124107243232257</v>
      </c>
      <c r="L33" s="251">
        <f t="shared" si="5"/>
        <v>113.7444</v>
      </c>
      <c r="M33" s="250">
        <f t="shared" si="6"/>
        <v>3.2362459546925572E-3</v>
      </c>
      <c r="N33" s="249">
        <f>VLOOKUP($D33,Base!$B$6:$L$119,O$3,FALSE)</f>
        <v>93.857142857142861</v>
      </c>
    </row>
    <row r="34" spans="3:14" x14ac:dyDescent="0.2">
      <c r="C34" s="73">
        <v>12</v>
      </c>
      <c r="D34" s="140" t="s">
        <v>353</v>
      </c>
      <c r="E34" s="242" t="s">
        <v>477</v>
      </c>
      <c r="F34" s="243">
        <f>VLOOKUP($D34,Base!$B$6:$L$119,F$3,FALSE)</f>
        <v>585.87211248744552</v>
      </c>
      <c r="G34" s="247">
        <f t="shared" si="7"/>
        <v>231.65975960169894</v>
      </c>
      <c r="H34" s="247">
        <f t="shared" si="1"/>
        <v>18.591328446510154</v>
      </c>
      <c r="I34" s="247">
        <f t="shared" si="2"/>
        <v>335.62102443923646</v>
      </c>
      <c r="J34" s="244">
        <f t="shared" si="3"/>
        <v>434.59604665266687</v>
      </c>
      <c r="K34" s="250">
        <f t="shared" si="4"/>
        <v>0.25820663351341933</v>
      </c>
      <c r="L34" s="251">
        <f t="shared" si="5"/>
        <v>1080.5717999999999</v>
      </c>
      <c r="M34" s="250">
        <f t="shared" si="6"/>
        <v>3.0744336569579294E-2</v>
      </c>
      <c r="N34" s="249">
        <f>VLOOKUP($D34,Base!$B$6:$L$119,O$3,FALSE)</f>
        <v>93.857142857142861</v>
      </c>
    </row>
    <row r="35" spans="3:14" ht="12" customHeight="1" x14ac:dyDescent="0.2">
      <c r="C35" s="73">
        <v>13</v>
      </c>
      <c r="D35" s="140" t="s">
        <v>355</v>
      </c>
      <c r="E35" s="242" t="s">
        <v>477</v>
      </c>
      <c r="F35" s="243">
        <f>VLOOKUP($D35,Base!$B$6:$L$119,F$3,FALSE)</f>
        <v>669.56812855708074</v>
      </c>
      <c r="G35" s="247">
        <f t="shared" si="7"/>
        <v>231.65975960169894</v>
      </c>
      <c r="H35" s="247">
        <f t="shared" si="1"/>
        <v>18.591328446510154</v>
      </c>
      <c r="I35" s="247">
        <f t="shared" si="2"/>
        <v>419.31704050887168</v>
      </c>
      <c r="J35" s="244">
        <f t="shared" si="3"/>
        <v>518.29206272230203</v>
      </c>
      <c r="K35" s="250">
        <f t="shared" si="4"/>
        <v>0.22593080432424195</v>
      </c>
      <c r="L35" s="251">
        <f t="shared" si="5"/>
        <v>56.872199999999999</v>
      </c>
      <c r="M35" s="250">
        <f t="shared" si="6"/>
        <v>1.6181229773462786E-3</v>
      </c>
      <c r="N35" s="249">
        <f>VLOOKUP($D35,Base!$B$6:$L$119,O$3,FALSE)</f>
        <v>93.857142857142861</v>
      </c>
    </row>
    <row r="36" spans="3:14" x14ac:dyDescent="0.2">
      <c r="C36" s="73">
        <v>14</v>
      </c>
      <c r="D36" s="140" t="s">
        <v>352</v>
      </c>
      <c r="E36" s="242" t="s">
        <v>477</v>
      </c>
      <c r="F36" s="243">
        <f>VLOOKUP($D36,Base!$B$6:$L$119,F$3,FALSE)</f>
        <v>753.26414462671585</v>
      </c>
      <c r="G36" s="247">
        <f t="shared" si="7"/>
        <v>231.65975960169894</v>
      </c>
      <c r="H36" s="247">
        <f t="shared" si="1"/>
        <v>18.591328446510154</v>
      </c>
      <c r="I36" s="247">
        <f t="shared" si="2"/>
        <v>503.01305657850679</v>
      </c>
      <c r="J36" s="244">
        <f t="shared" si="3"/>
        <v>601.98807879193714</v>
      </c>
      <c r="K36" s="250">
        <f t="shared" si="4"/>
        <v>0.20082738162154845</v>
      </c>
      <c r="L36" s="251">
        <f t="shared" si="5"/>
        <v>56.872199999999999</v>
      </c>
      <c r="M36" s="250">
        <f t="shared" si="6"/>
        <v>1.6181229773462786E-3</v>
      </c>
      <c r="N36" s="249">
        <f>VLOOKUP($D36,Base!$B$6:$L$119,O$3,FALSE)</f>
        <v>93.857142857142861</v>
      </c>
    </row>
    <row r="37" spans="3:14" ht="12" customHeight="1" x14ac:dyDescent="0.2">
      <c r="C37" s="73">
        <v>15</v>
      </c>
      <c r="D37" s="140" t="s">
        <v>358</v>
      </c>
      <c r="E37" s="242" t="s">
        <v>477</v>
      </c>
      <c r="F37" s="243">
        <f>VLOOKUP($D37,Base!$B$6:$L$119,F$3,FALSE)</f>
        <v>585.87211248744552</v>
      </c>
      <c r="G37" s="247">
        <f t="shared" si="7"/>
        <v>241.28838691350307</v>
      </c>
      <c r="H37" s="247">
        <f t="shared" si="1"/>
        <v>18.642907592399016</v>
      </c>
      <c r="I37" s="247">
        <f t="shared" si="2"/>
        <v>325.94081798154343</v>
      </c>
      <c r="J37" s="244">
        <f t="shared" si="3"/>
        <v>428.30845979846572</v>
      </c>
      <c r="K37" s="250">
        <f t="shared" si="4"/>
        <v>0.26893864604684725</v>
      </c>
      <c r="L37" s="251">
        <f t="shared" si="5"/>
        <v>0</v>
      </c>
      <c r="M37" s="250">
        <f t="shared" si="6"/>
        <v>0</v>
      </c>
      <c r="N37" s="249">
        <f>VLOOKUP($D37,Base!$B$6:$L$119,O$3,FALSE)</f>
        <v>103.11111111111111</v>
      </c>
    </row>
    <row r="38" spans="3:14" x14ac:dyDescent="0.2">
      <c r="C38" s="73">
        <v>16</v>
      </c>
      <c r="D38" s="140" t="s">
        <v>351</v>
      </c>
      <c r="E38" s="242" t="s">
        <v>477</v>
      </c>
      <c r="F38" s="243">
        <f>VLOOKUP($D38,Base!$B$6:$L$119,F$3,FALSE)</f>
        <v>585.87211248744552</v>
      </c>
      <c r="G38" s="247">
        <f t="shared" si="7"/>
        <v>231.65975960169894</v>
      </c>
      <c r="H38" s="247">
        <f t="shared" si="1"/>
        <v>18.591328446510154</v>
      </c>
      <c r="I38" s="247">
        <f t="shared" si="2"/>
        <v>335.62102443923646</v>
      </c>
      <c r="J38" s="244">
        <f t="shared" si="3"/>
        <v>434.59604665266687</v>
      </c>
      <c r="K38" s="250">
        <f t="shared" si="4"/>
        <v>0.25820663351341933</v>
      </c>
      <c r="L38" s="251">
        <f t="shared" si="5"/>
        <v>0</v>
      </c>
      <c r="M38" s="250">
        <f t="shared" si="6"/>
        <v>0</v>
      </c>
      <c r="N38" s="249">
        <f>VLOOKUP($D38,Base!$B$6:$L$119,O$3,FALSE)</f>
        <v>93.857142857142861</v>
      </c>
    </row>
    <row r="39" spans="3:14" ht="12" customHeight="1" x14ac:dyDescent="0.2">
      <c r="C39" s="73">
        <v>17</v>
      </c>
      <c r="D39" s="140" t="s">
        <v>354</v>
      </c>
      <c r="E39" s="242" t="s">
        <v>477</v>
      </c>
      <c r="F39" s="243">
        <f>VLOOKUP($D39,Base!$B$6:$L$119,F$3,FALSE)</f>
        <v>669.56812855708074</v>
      </c>
      <c r="G39" s="247">
        <f t="shared" si="7"/>
        <v>231.65975960169894</v>
      </c>
      <c r="H39" s="247">
        <f t="shared" si="1"/>
        <v>18.591328446510154</v>
      </c>
      <c r="I39" s="247">
        <f t="shared" si="2"/>
        <v>419.31704050887168</v>
      </c>
      <c r="J39" s="244">
        <f t="shared" si="3"/>
        <v>518.29206272230203</v>
      </c>
      <c r="K39" s="250">
        <f t="shared" si="4"/>
        <v>0.22593080432424195</v>
      </c>
      <c r="L39" s="251">
        <f t="shared" si="5"/>
        <v>0</v>
      </c>
      <c r="M39" s="250">
        <f t="shared" si="6"/>
        <v>0</v>
      </c>
      <c r="N39" s="249">
        <f>VLOOKUP($D39,Base!$B$6:$L$119,O$3,FALSE)</f>
        <v>93.857142857142861</v>
      </c>
    </row>
    <row r="40" spans="3:14" x14ac:dyDescent="0.2">
      <c r="C40" s="73">
        <v>18</v>
      </c>
      <c r="D40" s="140" t="s">
        <v>356</v>
      </c>
      <c r="E40" s="242" t="s">
        <v>477</v>
      </c>
      <c r="F40" s="243">
        <f>VLOOKUP($D40,Base!$B$6:$L$119,F$3,FALSE)</f>
        <v>753.26414462671585</v>
      </c>
      <c r="G40" s="247">
        <f t="shared" si="7"/>
        <v>231.65975960169894</v>
      </c>
      <c r="H40" s="247">
        <f t="shared" si="1"/>
        <v>18.591328446510154</v>
      </c>
      <c r="I40" s="247">
        <f t="shared" si="2"/>
        <v>503.01305657850679</v>
      </c>
      <c r="J40" s="244">
        <f t="shared" si="3"/>
        <v>601.98807879193714</v>
      </c>
      <c r="K40" s="250">
        <f t="shared" si="4"/>
        <v>0.20082738162154845</v>
      </c>
      <c r="L40" s="251">
        <f t="shared" si="5"/>
        <v>0</v>
      </c>
      <c r="M40" s="250">
        <f t="shared" si="6"/>
        <v>0</v>
      </c>
      <c r="N40" s="249">
        <f>VLOOKUP($D40,Base!$B$6:$L$119,O$3,FALSE)</f>
        <v>93.857142857142861</v>
      </c>
    </row>
    <row r="41" spans="3:14" ht="12" customHeight="1" x14ac:dyDescent="0.2">
      <c r="C41" s="73">
        <v>19</v>
      </c>
      <c r="D41" s="140" t="s">
        <v>275</v>
      </c>
      <c r="E41" s="242" t="s">
        <v>477</v>
      </c>
      <c r="F41" s="243">
        <f>VLOOKUP($D41,Base!$B$6:$L$119,F$3,FALSE)</f>
        <v>569.13290927351864</v>
      </c>
      <c r="G41" s="247">
        <f t="shared" si="7"/>
        <v>281.64363209088435</v>
      </c>
      <c r="H41" s="247">
        <f t="shared" si="1"/>
        <v>18.825065599105717</v>
      </c>
      <c r="I41" s="247">
        <f t="shared" si="2"/>
        <v>268.66421158352858</v>
      </c>
      <c r="J41" s="244">
        <f t="shared" si="3"/>
        <v>385.21689078424475</v>
      </c>
      <c r="K41" s="250">
        <f t="shared" si="4"/>
        <v>0.3231512630749771</v>
      </c>
      <c r="L41" s="251">
        <f t="shared" si="5"/>
        <v>7279.6415999999999</v>
      </c>
      <c r="M41" s="250">
        <f t="shared" si="6"/>
        <v>0.20711974110032366</v>
      </c>
      <c r="N41" s="249">
        <f>VLOOKUP($D41,Base!$B$6:$L$119,O$3,FALSE)</f>
        <v>153</v>
      </c>
    </row>
    <row r="42" spans="3:14" x14ac:dyDescent="0.2">
      <c r="C42" s="73">
        <v>20</v>
      </c>
      <c r="D42" s="140" t="s">
        <v>268</v>
      </c>
      <c r="E42" s="242" t="s">
        <v>477</v>
      </c>
      <c r="F42" s="243">
        <f>VLOOKUP($D42,Base!$B$6:$L$119,F$3,FALSE)</f>
        <v>569.13290927351864</v>
      </c>
      <c r="G42" s="247">
        <f t="shared" si="7"/>
        <v>281.64363209088435</v>
      </c>
      <c r="H42" s="247">
        <f t="shared" si="1"/>
        <v>18.825065599105717</v>
      </c>
      <c r="I42" s="247">
        <f t="shared" si="2"/>
        <v>268.66421158352858</v>
      </c>
      <c r="J42" s="244">
        <f t="shared" si="3"/>
        <v>385.21689078424475</v>
      </c>
      <c r="K42" s="250">
        <f t="shared" si="4"/>
        <v>0.3231512630749771</v>
      </c>
      <c r="L42" s="251">
        <f t="shared" si="5"/>
        <v>284.36099999999999</v>
      </c>
      <c r="M42" s="250">
        <f t="shared" si="6"/>
        <v>8.0906148867313926E-3</v>
      </c>
      <c r="N42" s="249">
        <f>VLOOKUP($D42,Base!$B$6:$L$119,O$3,FALSE)</f>
        <v>153</v>
      </c>
    </row>
    <row r="43" spans="3:14" ht="12" customHeight="1" x14ac:dyDescent="0.2">
      <c r="C43" s="73">
        <v>21</v>
      </c>
      <c r="D43" s="140" t="s">
        <v>271</v>
      </c>
      <c r="E43" s="242" t="s">
        <v>477</v>
      </c>
      <c r="F43" s="243">
        <f>VLOOKUP($D43,Base!$B$6:$L$119,F$3,FALSE)</f>
        <v>652.82892534315374</v>
      </c>
      <c r="G43" s="247">
        <f t="shared" si="7"/>
        <v>281.64363209088435</v>
      </c>
      <c r="H43" s="247">
        <f t="shared" si="1"/>
        <v>18.825065599105717</v>
      </c>
      <c r="I43" s="247">
        <f t="shared" si="2"/>
        <v>352.36022765316369</v>
      </c>
      <c r="J43" s="244">
        <f t="shared" si="3"/>
        <v>468.91290685387986</v>
      </c>
      <c r="K43" s="250">
        <f t="shared" si="4"/>
        <v>0.28172161396280049</v>
      </c>
      <c r="L43" s="251">
        <f t="shared" si="5"/>
        <v>2559.2489999999998</v>
      </c>
      <c r="M43" s="250">
        <f t="shared" si="6"/>
        <v>7.2815533980582534E-2</v>
      </c>
      <c r="N43" s="249">
        <f>VLOOKUP($D43,Base!$B$6:$L$119,O$3,FALSE)</f>
        <v>153</v>
      </c>
    </row>
    <row r="44" spans="3:14" x14ac:dyDescent="0.2">
      <c r="C44" s="73">
        <v>22</v>
      </c>
      <c r="D44" s="140" t="s">
        <v>273</v>
      </c>
      <c r="E44" s="242" t="s">
        <v>477</v>
      </c>
      <c r="F44" s="243">
        <f>VLOOKUP($D44,Base!$B$6:$L$119,F$3,FALSE)</f>
        <v>736.52494141278873</v>
      </c>
      <c r="G44" s="247">
        <f>INDEX(vector.implicit.prices.STAR.after.discount,MATCH($D44,vector.plans.names,0))</f>
        <v>281.64363209088435</v>
      </c>
      <c r="H44" s="247">
        <f t="shared" si="1"/>
        <v>18.825065599105717</v>
      </c>
      <c r="I44" s="247">
        <f t="shared" si="2"/>
        <v>436.05624372279868</v>
      </c>
      <c r="J44" s="244">
        <f t="shared" si="3"/>
        <v>552.60892292351491</v>
      </c>
      <c r="K44" s="250">
        <f t="shared" si="4"/>
        <v>0.24970779419430045</v>
      </c>
      <c r="L44" s="251">
        <f t="shared" si="5"/>
        <v>2104.2714000000001</v>
      </c>
      <c r="M44" s="250">
        <f t="shared" si="6"/>
        <v>5.9870550161812315E-2</v>
      </c>
      <c r="N44" s="249">
        <f>VLOOKUP($D44,Base!$B$6:$L$119,O$3,FALSE)</f>
        <v>153</v>
      </c>
    </row>
    <row r="45" spans="3:14" ht="12" customHeight="1" x14ac:dyDescent="0.2">
      <c r="C45" s="73">
        <v>23</v>
      </c>
      <c r="D45" s="140" t="s">
        <v>270</v>
      </c>
      <c r="E45" s="242" t="s">
        <v>477</v>
      </c>
      <c r="F45" s="243">
        <f>VLOOKUP($D45,Base!$B$6:$L$119,F$3,FALSE)</f>
        <v>820.22095748242384</v>
      </c>
      <c r="G45" s="247">
        <f t="shared" si="7"/>
        <v>281.64363209088435</v>
      </c>
      <c r="H45" s="247">
        <f t="shared" si="1"/>
        <v>18.825065599105717</v>
      </c>
      <c r="I45" s="247">
        <f t="shared" si="2"/>
        <v>519.75225979243373</v>
      </c>
      <c r="J45" s="244">
        <f t="shared" si="3"/>
        <v>636.3049389931499</v>
      </c>
      <c r="K45" s="250">
        <f t="shared" si="4"/>
        <v>0.22422740703161681</v>
      </c>
      <c r="L45" s="251">
        <f t="shared" si="5"/>
        <v>56.872199999999999</v>
      </c>
      <c r="M45" s="250">
        <f t="shared" si="6"/>
        <v>1.6181229773462786E-3</v>
      </c>
      <c r="N45" s="249">
        <f>VLOOKUP($D45,Base!$B$6:$L$119,O$3,FALSE)</f>
        <v>153</v>
      </c>
    </row>
    <row r="46" spans="3:14" x14ac:dyDescent="0.2">
      <c r="C46" s="73">
        <v>24</v>
      </c>
      <c r="D46" s="140" t="s">
        <v>276</v>
      </c>
      <c r="E46" s="242" t="s">
        <v>477</v>
      </c>
      <c r="F46" s="243">
        <f>VLOOKUP($D46,Base!$B$6:$L$119,F$3,FALSE)</f>
        <v>652.82892534315374</v>
      </c>
      <c r="G46" s="247">
        <f t="shared" si="7"/>
        <v>281.64363209088435</v>
      </c>
      <c r="H46" s="247">
        <f t="shared" si="1"/>
        <v>18.825065599105717</v>
      </c>
      <c r="I46" s="247">
        <f t="shared" si="2"/>
        <v>352.36022765316369</v>
      </c>
      <c r="J46" s="244">
        <f t="shared" si="3"/>
        <v>468.91290685387986</v>
      </c>
      <c r="K46" s="250">
        <f t="shared" si="4"/>
        <v>0.28172161396280049</v>
      </c>
      <c r="L46" s="251">
        <f t="shared" si="5"/>
        <v>0</v>
      </c>
      <c r="M46" s="250">
        <f t="shared" si="6"/>
        <v>0</v>
      </c>
      <c r="N46" s="249">
        <f>VLOOKUP($D46,Base!$B$6:$L$119,O$3,FALSE)</f>
        <v>153</v>
      </c>
    </row>
    <row r="47" spans="3:14" ht="12" customHeight="1" x14ac:dyDescent="0.2">
      <c r="C47" s="73">
        <v>25</v>
      </c>
      <c r="D47" s="140" t="s">
        <v>269</v>
      </c>
      <c r="E47" s="242" t="s">
        <v>477</v>
      </c>
      <c r="F47" s="243">
        <f>VLOOKUP($D47,Base!$B$6:$L$119,F$3,FALSE)</f>
        <v>652.82892534315374</v>
      </c>
      <c r="G47" s="247">
        <f t="shared" si="7"/>
        <v>281.64363209088435</v>
      </c>
      <c r="H47" s="247">
        <f t="shared" si="1"/>
        <v>18.825065599105717</v>
      </c>
      <c r="I47" s="247">
        <f t="shared" si="2"/>
        <v>352.36022765316369</v>
      </c>
      <c r="J47" s="244">
        <f t="shared" si="3"/>
        <v>468.91290685387986</v>
      </c>
      <c r="K47" s="250">
        <f t="shared" si="4"/>
        <v>0.28172161396280049</v>
      </c>
      <c r="L47" s="251">
        <f t="shared" si="5"/>
        <v>56.872199999999999</v>
      </c>
      <c r="M47" s="250">
        <f t="shared" si="6"/>
        <v>1.6181229773462786E-3</v>
      </c>
      <c r="N47" s="249">
        <f>VLOOKUP($D47,Base!$B$6:$L$119,O$3,FALSE)</f>
        <v>153</v>
      </c>
    </row>
    <row r="48" spans="3:14" x14ac:dyDescent="0.2">
      <c r="C48" s="73">
        <v>26</v>
      </c>
      <c r="D48" s="140" t="s">
        <v>272</v>
      </c>
      <c r="E48" s="242" t="s">
        <v>477</v>
      </c>
      <c r="F48" s="243">
        <f>VLOOKUP($D48,Base!$B$6:$L$119,F$3,FALSE)</f>
        <v>736.52494141278873</v>
      </c>
      <c r="G48" s="247">
        <f t="shared" si="7"/>
        <v>281.64363209088435</v>
      </c>
      <c r="H48" s="247">
        <f t="shared" si="1"/>
        <v>18.825065599105717</v>
      </c>
      <c r="I48" s="247">
        <f t="shared" si="2"/>
        <v>436.05624372279868</v>
      </c>
      <c r="J48" s="244">
        <f t="shared" si="3"/>
        <v>552.60892292351491</v>
      </c>
      <c r="K48" s="250">
        <f t="shared" si="4"/>
        <v>0.24970779419430045</v>
      </c>
      <c r="L48" s="251">
        <f t="shared" si="5"/>
        <v>0</v>
      </c>
      <c r="M48" s="250">
        <f t="shared" si="6"/>
        <v>0</v>
      </c>
      <c r="N48" s="249">
        <f>VLOOKUP($D48,Base!$B$6:$L$119,O$3,FALSE)</f>
        <v>153</v>
      </c>
    </row>
    <row r="49" spans="1:57" ht="12" customHeight="1" x14ac:dyDescent="0.2">
      <c r="C49" s="73">
        <v>27</v>
      </c>
      <c r="D49" s="140" t="s">
        <v>274</v>
      </c>
      <c r="E49" s="242" t="s">
        <v>477</v>
      </c>
      <c r="F49" s="243">
        <f>VLOOKUP($D49,Base!$B$6:$L$119,F$3,FALSE)</f>
        <v>820.22095748242384</v>
      </c>
      <c r="G49" s="247">
        <f t="shared" si="7"/>
        <v>281.64363209088435</v>
      </c>
      <c r="H49" s="247">
        <f t="shared" si="1"/>
        <v>18.825065599105717</v>
      </c>
      <c r="I49" s="247">
        <f t="shared" si="2"/>
        <v>519.75225979243373</v>
      </c>
      <c r="J49" s="244">
        <f t="shared" si="3"/>
        <v>636.3049389931499</v>
      </c>
      <c r="K49" s="250">
        <f t="shared" si="4"/>
        <v>0.22422740703161681</v>
      </c>
      <c r="L49" s="251">
        <f t="shared" si="5"/>
        <v>0</v>
      </c>
      <c r="M49" s="250">
        <f t="shared" si="6"/>
        <v>0</v>
      </c>
      <c r="N49" s="249">
        <f>VLOOKUP($D49,Base!$B$6:$L$119,O$3,FALSE)</f>
        <v>153</v>
      </c>
    </row>
    <row r="50" spans="1:57" x14ac:dyDescent="0.2">
      <c r="C50" s="73">
        <v>28</v>
      </c>
      <c r="D50" s="140" t="s">
        <v>302</v>
      </c>
      <c r="E50" s="242" t="s">
        <v>477</v>
      </c>
      <c r="F50" s="243">
        <f>VLOOKUP($D50,Base!$B$6:$L$119,F$3,FALSE)</f>
        <v>569.13290927351864</v>
      </c>
      <c r="G50" s="247">
        <f t="shared" si="7"/>
        <v>281.64363209088435</v>
      </c>
      <c r="H50" s="247">
        <f t="shared" si="1"/>
        <v>18.825065599105717</v>
      </c>
      <c r="I50" s="247">
        <f t="shared" si="2"/>
        <v>268.66421158352858</v>
      </c>
      <c r="J50" s="244">
        <f t="shared" si="3"/>
        <v>385.21689078424475</v>
      </c>
      <c r="K50" s="250">
        <f t="shared" si="4"/>
        <v>0.3231512630749771</v>
      </c>
      <c r="L50" s="251">
        <f t="shared" si="5"/>
        <v>398.10539999999997</v>
      </c>
      <c r="M50" s="250">
        <f t="shared" si="6"/>
        <v>1.1326860841423951E-2</v>
      </c>
      <c r="N50" s="249">
        <f>VLOOKUP($D50,Base!$B$6:$L$119,O$3,FALSE)</f>
        <v>153</v>
      </c>
    </row>
    <row r="51" spans="1:57" ht="12" customHeight="1" x14ac:dyDescent="0.2">
      <c r="C51" s="73">
        <v>29</v>
      </c>
      <c r="D51" s="140" t="s">
        <v>295</v>
      </c>
      <c r="E51" s="242" t="s">
        <v>477</v>
      </c>
      <c r="F51" s="243">
        <f>VLOOKUP($D51,Base!$B$6:$L$119,F$3,FALSE)</f>
        <v>569.13290927351864</v>
      </c>
      <c r="G51" s="247">
        <f t="shared" si="7"/>
        <v>281.64363209088435</v>
      </c>
      <c r="H51" s="247">
        <f t="shared" si="1"/>
        <v>18.825065599105717</v>
      </c>
      <c r="I51" s="247">
        <f t="shared" si="2"/>
        <v>268.66421158352858</v>
      </c>
      <c r="J51" s="244">
        <f t="shared" si="3"/>
        <v>385.21689078424475</v>
      </c>
      <c r="K51" s="250">
        <f t="shared" si="4"/>
        <v>0.3231512630749771</v>
      </c>
      <c r="L51" s="251">
        <f t="shared" si="5"/>
        <v>56.872199999999999</v>
      </c>
      <c r="M51" s="250">
        <f t="shared" si="6"/>
        <v>1.6181229773462786E-3</v>
      </c>
      <c r="N51" s="249">
        <f>VLOOKUP($D51,Base!$B$6:$L$119,O$3,FALSE)</f>
        <v>153</v>
      </c>
    </row>
    <row r="52" spans="1:57" x14ac:dyDescent="0.2">
      <c r="C52" s="73">
        <v>30</v>
      </c>
      <c r="D52" s="140" t="s">
        <v>298</v>
      </c>
      <c r="E52" s="242" t="s">
        <v>477</v>
      </c>
      <c r="F52" s="243">
        <f>VLOOKUP($D52,Base!$B$6:$L$119,F$3,FALSE)</f>
        <v>652.82892534315374</v>
      </c>
      <c r="G52" s="247">
        <f t="shared" si="7"/>
        <v>281.64363209088435</v>
      </c>
      <c r="H52" s="247">
        <f t="shared" si="1"/>
        <v>18.825065599105717</v>
      </c>
      <c r="I52" s="247">
        <f t="shared" si="2"/>
        <v>352.36022765316369</v>
      </c>
      <c r="J52" s="244">
        <f t="shared" si="3"/>
        <v>468.91290685387986</v>
      </c>
      <c r="K52" s="250">
        <f t="shared" si="4"/>
        <v>0.28172161396280049</v>
      </c>
      <c r="L52" s="251">
        <f t="shared" si="5"/>
        <v>227.4888</v>
      </c>
      <c r="M52" s="250">
        <f t="shared" si="6"/>
        <v>6.4724919093851144E-3</v>
      </c>
      <c r="N52" s="249">
        <f>VLOOKUP($D52,Base!$B$6:$L$119,O$3,FALSE)</f>
        <v>153</v>
      </c>
    </row>
    <row r="53" spans="1:57" ht="12" customHeight="1" x14ac:dyDescent="0.2">
      <c r="C53" s="73">
        <v>31</v>
      </c>
      <c r="D53" s="140" t="s">
        <v>300</v>
      </c>
      <c r="E53" s="242" t="s">
        <v>477</v>
      </c>
      <c r="F53" s="243">
        <f>VLOOKUP($D53,Base!$B$6:$L$119,F$3,FALSE)</f>
        <v>736.52494141278873</v>
      </c>
      <c r="G53" s="247">
        <f t="shared" si="7"/>
        <v>281.64363209088435</v>
      </c>
      <c r="H53" s="247">
        <f t="shared" si="1"/>
        <v>18.825065599105717</v>
      </c>
      <c r="I53" s="247">
        <f t="shared" si="2"/>
        <v>436.05624372279868</v>
      </c>
      <c r="J53" s="244">
        <f t="shared" si="3"/>
        <v>552.60892292351491</v>
      </c>
      <c r="K53" s="250">
        <f t="shared" si="4"/>
        <v>0.24970779419430045</v>
      </c>
      <c r="L53" s="251">
        <f t="shared" si="5"/>
        <v>56.872199999999999</v>
      </c>
      <c r="M53" s="250">
        <f t="shared" si="6"/>
        <v>1.6181229773462786E-3</v>
      </c>
      <c r="N53" s="249">
        <f>VLOOKUP($D53,Base!$B$6:$L$119,O$3,FALSE)</f>
        <v>153</v>
      </c>
    </row>
    <row r="54" spans="1:57" x14ac:dyDescent="0.2">
      <c r="C54" s="73">
        <v>32</v>
      </c>
      <c r="D54" s="140" t="s">
        <v>297</v>
      </c>
      <c r="E54" s="242" t="s">
        <v>477</v>
      </c>
      <c r="F54" s="243">
        <f>VLOOKUP($D54,Base!$B$6:$L$119,F$3,FALSE)</f>
        <v>820.22095748242384</v>
      </c>
      <c r="G54" s="247">
        <f t="shared" si="7"/>
        <v>281.64363209088435</v>
      </c>
      <c r="H54" s="247">
        <f t="shared" si="1"/>
        <v>18.825065599105717</v>
      </c>
      <c r="I54" s="247">
        <f t="shared" si="2"/>
        <v>519.75225979243373</v>
      </c>
      <c r="J54" s="244">
        <f t="shared" si="3"/>
        <v>636.3049389931499</v>
      </c>
      <c r="K54" s="250">
        <f t="shared" si="4"/>
        <v>0.22422740703161681</v>
      </c>
      <c r="L54" s="251">
        <f t="shared" si="5"/>
        <v>56.872199999999999</v>
      </c>
      <c r="M54" s="250">
        <f t="shared" si="6"/>
        <v>1.6181229773462786E-3</v>
      </c>
      <c r="N54" s="249">
        <f>VLOOKUP($D54,Base!$B$6:$L$119,O$3,FALSE)</f>
        <v>153</v>
      </c>
    </row>
    <row r="55" spans="1:57" ht="12" customHeight="1" x14ac:dyDescent="0.2">
      <c r="C55" s="73">
        <v>33</v>
      </c>
      <c r="D55" s="140" t="s">
        <v>303</v>
      </c>
      <c r="E55" s="242" t="s">
        <v>477</v>
      </c>
      <c r="F55" s="243">
        <f>VLOOKUP($D55,Base!$B$6:$L$119,F$3,FALSE)</f>
        <v>652.82892534315374</v>
      </c>
      <c r="G55" s="247">
        <f t="shared" si="7"/>
        <v>281.64363209088435</v>
      </c>
      <c r="H55" s="247">
        <f t="shared" si="1"/>
        <v>18.825065599105717</v>
      </c>
      <c r="I55" s="247">
        <f t="shared" si="2"/>
        <v>352.36022765316369</v>
      </c>
      <c r="J55" s="244">
        <f t="shared" si="3"/>
        <v>468.91290685387986</v>
      </c>
      <c r="K55" s="250">
        <f t="shared" si="4"/>
        <v>0.28172161396280049</v>
      </c>
      <c r="L55" s="251">
        <f t="shared" si="5"/>
        <v>0</v>
      </c>
      <c r="M55" s="250">
        <f t="shared" si="6"/>
        <v>0</v>
      </c>
      <c r="N55" s="249">
        <f>VLOOKUP($D55,Base!$B$6:$L$119,O$3,FALSE)</f>
        <v>153</v>
      </c>
    </row>
    <row r="56" spans="1:57" x14ac:dyDescent="0.2">
      <c r="C56" s="73">
        <v>34</v>
      </c>
      <c r="D56" s="140" t="s">
        <v>296</v>
      </c>
      <c r="E56" s="242" t="s">
        <v>477</v>
      </c>
      <c r="F56" s="243">
        <f>VLOOKUP($D56,Base!$B$6:$L$119,F$3,FALSE)</f>
        <v>652.82892534315374</v>
      </c>
      <c r="G56" s="247">
        <f t="shared" si="7"/>
        <v>281.64363209088435</v>
      </c>
      <c r="H56" s="247">
        <f t="shared" si="1"/>
        <v>18.825065599105717</v>
      </c>
      <c r="I56" s="247">
        <f t="shared" si="2"/>
        <v>352.36022765316369</v>
      </c>
      <c r="J56" s="244">
        <f t="shared" si="3"/>
        <v>468.91290685387986</v>
      </c>
      <c r="K56" s="250">
        <f t="shared" si="4"/>
        <v>0.28172161396280049</v>
      </c>
      <c r="L56" s="251">
        <f t="shared" si="5"/>
        <v>0</v>
      </c>
      <c r="M56" s="250">
        <f t="shared" si="6"/>
        <v>0</v>
      </c>
      <c r="N56" s="249">
        <f>VLOOKUP($D56,Base!$B$6:$L$119,O$3,FALSE)</f>
        <v>153</v>
      </c>
    </row>
    <row r="57" spans="1:57" ht="12" customHeight="1" x14ac:dyDescent="0.2">
      <c r="C57" s="73">
        <v>35</v>
      </c>
      <c r="D57" s="140" t="s">
        <v>299</v>
      </c>
      <c r="E57" s="242" t="s">
        <v>477</v>
      </c>
      <c r="F57" s="243">
        <f>VLOOKUP($D57,Base!$B$6:$L$119,F$3,FALSE)</f>
        <v>736.52494141278873</v>
      </c>
      <c r="G57" s="247">
        <f t="shared" si="7"/>
        <v>281.64363209088435</v>
      </c>
      <c r="H57" s="247">
        <f t="shared" si="1"/>
        <v>18.825065599105717</v>
      </c>
      <c r="I57" s="247">
        <f t="shared" si="2"/>
        <v>436.05624372279868</v>
      </c>
      <c r="J57" s="244">
        <f t="shared" si="3"/>
        <v>552.60892292351491</v>
      </c>
      <c r="K57" s="250">
        <f t="shared" si="4"/>
        <v>0.24970779419430045</v>
      </c>
      <c r="L57" s="251">
        <f t="shared" si="5"/>
        <v>0</v>
      </c>
      <c r="M57" s="250">
        <f t="shared" si="6"/>
        <v>0</v>
      </c>
      <c r="N57" s="249">
        <f>VLOOKUP($D57,Base!$B$6:$L$119,O$3,FALSE)</f>
        <v>153</v>
      </c>
    </row>
    <row r="58" spans="1:57" x14ac:dyDescent="0.2">
      <c r="C58" s="73">
        <v>36</v>
      </c>
      <c r="D58" s="140" t="s">
        <v>301</v>
      </c>
      <c r="E58" s="242" t="s">
        <v>477</v>
      </c>
      <c r="F58" s="243">
        <f>VLOOKUP($D58,Base!$B$6:$L$119,F$3,FALSE)</f>
        <v>820.22095748242384</v>
      </c>
      <c r="G58" s="247">
        <f t="shared" si="7"/>
        <v>281.64363209088435</v>
      </c>
      <c r="H58" s="247">
        <f t="shared" si="1"/>
        <v>18.825065599105717</v>
      </c>
      <c r="I58" s="247">
        <f t="shared" si="2"/>
        <v>519.75225979243373</v>
      </c>
      <c r="J58" s="244">
        <f t="shared" si="3"/>
        <v>636.3049389931499</v>
      </c>
      <c r="K58" s="250">
        <f t="shared" si="4"/>
        <v>0.22422740703161681</v>
      </c>
      <c r="L58" s="251">
        <f t="shared" si="5"/>
        <v>0</v>
      </c>
      <c r="M58" s="250">
        <f t="shared" si="6"/>
        <v>0</v>
      </c>
      <c r="N58" s="249">
        <f>VLOOKUP($D58,Base!$B$6:$L$119,O$3,FALSE)</f>
        <v>153</v>
      </c>
    </row>
    <row r="59" spans="1:57" ht="34.15" customHeight="1" x14ac:dyDescent="0.2">
      <c r="J59" s="252" t="s">
        <v>485</v>
      </c>
      <c r="K59" s="254">
        <f>SUMPRODUCT(K23:K58,M23:M58)/SUM(M23:M58)</f>
        <v>0.29441614056036336</v>
      </c>
    </row>
    <row r="60" spans="1:57" ht="27.6" customHeight="1" x14ac:dyDescent="0.2"/>
    <row r="61" spans="1:57" ht="24.6" customHeight="1" x14ac:dyDescent="0.2"/>
    <row r="63" spans="1:57" ht="12" customHeight="1" x14ac:dyDescent="0.2">
      <c r="A63" s="76">
        <v>3</v>
      </c>
      <c r="B63" s="76" t="s">
        <v>489</v>
      </c>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row>
    <row r="64" spans="1:57" x14ac:dyDescent="0.2">
      <c r="A64" s="274" t="s">
        <v>497</v>
      </c>
      <c r="B64" s="274"/>
    </row>
    <row r="65" spans="1:15" ht="24" x14ac:dyDescent="0.2">
      <c r="A65" s="266" t="s">
        <v>498</v>
      </c>
      <c r="B65" s="246" t="s">
        <v>499</v>
      </c>
    </row>
    <row r="66" spans="1:15" ht="15.75" x14ac:dyDescent="0.2">
      <c r="A66" s="267">
        <v>0.21689684743544299</v>
      </c>
      <c r="B66" s="255" cm="1">
        <f t="array" aca="1" ref="B66" ca="1">INDIRECT(C66)</f>
        <v>0.32565589053971861</v>
      </c>
      <c r="C66" s="41" t="s">
        <v>484</v>
      </c>
    </row>
    <row r="67" spans="1:15" ht="12" customHeight="1" x14ac:dyDescent="0.2">
      <c r="G67" s="245" t="s">
        <v>479</v>
      </c>
      <c r="H67" s="58"/>
      <c r="I67" s="58"/>
    </row>
    <row r="68" spans="1:15" ht="24" x14ac:dyDescent="0.2">
      <c r="C68" s="1" t="s">
        <v>130</v>
      </c>
      <c r="D68" s="1" t="s">
        <v>493</v>
      </c>
      <c r="E68" s="1" t="s">
        <v>135</v>
      </c>
      <c r="F68" s="1" t="str">
        <f>"Precio minorista "&amp;Year.selected
&amp;" Sin impuestos"</f>
        <v>Precio minorista 2023 Sin impuestos</v>
      </c>
      <c r="G68" s="246" t="s">
        <v>415</v>
      </c>
      <c r="H68" s="246" t="s">
        <v>437</v>
      </c>
      <c r="I68" s="246" t="s">
        <v>265</v>
      </c>
      <c r="J68" s="1" t="s">
        <v>478</v>
      </c>
      <c r="K68" s="1" t="s">
        <v>138</v>
      </c>
      <c r="L68" s="1" t="s">
        <v>482</v>
      </c>
      <c r="M68" s="1" t="s">
        <v>487</v>
      </c>
      <c r="N68" s="1" t="s">
        <v>422</v>
      </c>
      <c r="O68" s="1" t="s">
        <v>137</v>
      </c>
    </row>
    <row r="69" spans="1:15" ht="12" customHeight="1" x14ac:dyDescent="0.2">
      <c r="C69" s="73">
        <v>1</v>
      </c>
      <c r="D69" s="140" t="s">
        <v>366</v>
      </c>
      <c r="E69" s="242" t="s">
        <v>477</v>
      </c>
      <c r="F69" s="243">
        <f>VLOOKUP($D69,Base!$B$6:$L$119,F$3,FALSE)</f>
        <v>502.17609641781053</v>
      </c>
      <c r="G69" s="247">
        <f t="shared" ref="G69:G105" si="8">INDEX(vector.implicit.prices.STAR.after.discount,MATCH($D69,vector.plans.names,0))</f>
        <v>274.90956561589923</v>
      </c>
      <c r="H69" s="247">
        <f t="shared" ref="H69:H105" si="9">INDEX(instalación,MATCH(D69,vector.plans.names,0))</f>
        <v>18.797953998695078</v>
      </c>
      <c r="I69" s="247">
        <f t="shared" ref="I69:I105" si="10">INDEX(vector.implicit.prices.otherservices.after.discount,MATCH($D69,vector.plans.names,0))</f>
        <v>208.46857680321625</v>
      </c>
      <c r="J69" s="244">
        <f t="shared" ref="J69:J105" si="11">G69*(1-retail.minus.line.STAR.retail.minus.items.only)+H69+I69</f>
        <v>322.65748853259288</v>
      </c>
      <c r="K69" s="250">
        <f t="shared" ref="K69:K105" si="12">1-J69/F69</f>
        <v>0.35748138783543004</v>
      </c>
      <c r="L69" s="251">
        <f t="shared" ref="L69:L105" si="13">INDEX(vector.users.STAR,MATCH(D69,vector.plans.names,0))</f>
        <v>245744.77619999999</v>
      </c>
      <c r="M69" s="253">
        <f>L69/SUM($L$69:$L$105)</f>
        <v>0.43836867200973939</v>
      </c>
      <c r="N69" s="249">
        <f>VLOOKUP($D69,Base!$B$6:$L$119,O$3,FALSE)</f>
        <v>143.44444444444446</v>
      </c>
    </row>
    <row r="70" spans="1:15" x14ac:dyDescent="0.2">
      <c r="C70" s="73">
        <v>2</v>
      </c>
      <c r="D70" s="140" t="s">
        <v>359</v>
      </c>
      <c r="E70" s="242" t="s">
        <v>477</v>
      </c>
      <c r="F70" s="243">
        <f>VLOOKUP($D70,Base!$B$6:$L$119,F$3,FALSE)</f>
        <v>585.87211248744552</v>
      </c>
      <c r="G70" s="247">
        <f t="shared" si="8"/>
        <v>270.27354679538558</v>
      </c>
      <c r="H70" s="247">
        <f t="shared" si="9"/>
        <v>18.778597036235489</v>
      </c>
      <c r="I70" s="247">
        <f t="shared" si="10"/>
        <v>296.81996865582448</v>
      </c>
      <c r="J70" s="244">
        <f t="shared" si="11"/>
        <v>409.38086977565763</v>
      </c>
      <c r="K70" s="250">
        <f t="shared" si="12"/>
        <v>0.30124533827434885</v>
      </c>
      <c r="L70" s="251">
        <f t="shared" si="13"/>
        <v>140815.56719999999</v>
      </c>
      <c r="M70" s="253">
        <f t="shared" ref="M70:M105" si="14">L70/SUM($L$69:$L$105)</f>
        <v>0.25119204626154007</v>
      </c>
      <c r="N70" s="249">
        <f>VLOOKUP($D70,Base!$B$6:$L$119,O$3,FALSE)</f>
        <v>137.57142857142856</v>
      </c>
    </row>
    <row r="71" spans="1:15" ht="12" customHeight="1" x14ac:dyDescent="0.2">
      <c r="C71" s="73">
        <v>3</v>
      </c>
      <c r="D71" s="140" t="s">
        <v>362</v>
      </c>
      <c r="E71" s="242" t="s">
        <v>477</v>
      </c>
      <c r="F71" s="243">
        <f>VLOOKUP($D71,Base!$B$6:$L$119,F$3,FALSE)</f>
        <v>669.56812855708074</v>
      </c>
      <c r="G71" s="247">
        <f t="shared" si="8"/>
        <v>270.27354679538558</v>
      </c>
      <c r="H71" s="247">
        <f t="shared" si="9"/>
        <v>18.778597036235489</v>
      </c>
      <c r="I71" s="247">
        <f t="shared" si="10"/>
        <v>380.5159847254597</v>
      </c>
      <c r="J71" s="244">
        <f t="shared" si="11"/>
        <v>493.07688584529285</v>
      </c>
      <c r="K71" s="250">
        <f t="shared" si="12"/>
        <v>0.26358967099005515</v>
      </c>
      <c r="L71" s="251">
        <f t="shared" si="13"/>
        <v>49706.302800000005</v>
      </c>
      <c r="M71" s="253">
        <f t="shared" si="14"/>
        <v>8.8667951709445109E-2</v>
      </c>
      <c r="N71" s="249">
        <f>VLOOKUP($D71,Base!$B$6:$L$119,O$3,FALSE)</f>
        <v>137.57142857142856</v>
      </c>
    </row>
    <row r="72" spans="1:15" x14ac:dyDescent="0.2">
      <c r="C72" s="73">
        <v>4</v>
      </c>
      <c r="D72" s="140" t="s">
        <v>364</v>
      </c>
      <c r="E72" s="242" t="s">
        <v>477</v>
      </c>
      <c r="F72" s="243">
        <f>VLOOKUP($D72,Base!$B$6:$L$119,F$3,FALSE)</f>
        <v>753.26414462671585</v>
      </c>
      <c r="G72" s="247">
        <f t="shared" si="8"/>
        <v>270.27354679538558</v>
      </c>
      <c r="H72" s="247">
        <f t="shared" si="9"/>
        <v>18.778597036235489</v>
      </c>
      <c r="I72" s="247">
        <f t="shared" si="10"/>
        <v>464.21200079509481</v>
      </c>
      <c r="J72" s="244">
        <f t="shared" si="11"/>
        <v>576.77290191492796</v>
      </c>
      <c r="K72" s="250">
        <f t="shared" si="12"/>
        <v>0.23430192976893793</v>
      </c>
      <c r="L72" s="251">
        <f t="shared" si="13"/>
        <v>1819.9104</v>
      </c>
      <c r="M72" s="253">
        <f t="shared" si="14"/>
        <v>3.2464238612153811E-3</v>
      </c>
      <c r="N72" s="249">
        <f>VLOOKUP($D72,Base!$B$6:$L$119,O$3,FALSE)</f>
        <v>137.57142857142856</v>
      </c>
    </row>
    <row r="73" spans="1:15" ht="12" customHeight="1" x14ac:dyDescent="0.2">
      <c r="C73" s="73">
        <v>5</v>
      </c>
      <c r="D73" s="140" t="s">
        <v>361</v>
      </c>
      <c r="E73" s="242" t="s">
        <v>477</v>
      </c>
      <c r="F73" s="243">
        <f>VLOOKUP($D73,Base!$B$6:$L$119,F$3,FALSE)</f>
        <v>836.96016069635084</v>
      </c>
      <c r="G73" s="247">
        <f t="shared" si="8"/>
        <v>270.27354679538558</v>
      </c>
      <c r="H73" s="247">
        <f t="shared" si="9"/>
        <v>18.778597036235489</v>
      </c>
      <c r="I73" s="247">
        <f t="shared" si="10"/>
        <v>547.9080168647298</v>
      </c>
      <c r="J73" s="244">
        <f t="shared" si="11"/>
        <v>660.46891798456295</v>
      </c>
      <c r="K73" s="250">
        <f t="shared" si="12"/>
        <v>0.21087173679204418</v>
      </c>
      <c r="L73" s="251">
        <f t="shared" si="13"/>
        <v>113.7444</v>
      </c>
      <c r="M73" s="253">
        <f t="shared" si="14"/>
        <v>2.0290149132596132E-4</v>
      </c>
      <c r="N73" s="249">
        <f>VLOOKUP($D73,Base!$B$6:$L$119,O$3,FALSE)</f>
        <v>137.57142857142856</v>
      </c>
    </row>
    <row r="74" spans="1:15" x14ac:dyDescent="0.2">
      <c r="C74" s="73">
        <v>6</v>
      </c>
      <c r="D74" s="140" t="s">
        <v>367</v>
      </c>
      <c r="E74" s="242" t="s">
        <v>477</v>
      </c>
      <c r="F74" s="243">
        <f>VLOOKUP($D74,Base!$B$6:$L$119,F$3,FALSE)</f>
        <v>585.87211248744552</v>
      </c>
      <c r="G74" s="247">
        <f t="shared" si="8"/>
        <v>274.90956561589923</v>
      </c>
      <c r="H74" s="247">
        <f t="shared" si="9"/>
        <v>18.797953998695078</v>
      </c>
      <c r="I74" s="247">
        <f t="shared" si="10"/>
        <v>292.16459287285124</v>
      </c>
      <c r="J74" s="244">
        <f t="shared" si="11"/>
        <v>406.35350460222787</v>
      </c>
      <c r="K74" s="250">
        <f t="shared" si="12"/>
        <v>0.30641261814465437</v>
      </c>
      <c r="L74" s="251">
        <f t="shared" si="13"/>
        <v>56.872199999999999</v>
      </c>
      <c r="M74" s="253">
        <f t="shared" si="14"/>
        <v>1.0145074566298066E-4</v>
      </c>
      <c r="N74" s="249">
        <f>VLOOKUP($D74,Base!$B$6:$L$119,O$3,FALSE)</f>
        <v>143.44444444444446</v>
      </c>
    </row>
    <row r="75" spans="1:15" ht="12" customHeight="1" x14ac:dyDescent="0.2">
      <c r="C75" s="73">
        <v>7</v>
      </c>
      <c r="D75" s="140" t="s">
        <v>360</v>
      </c>
      <c r="E75" s="242" t="s">
        <v>477</v>
      </c>
      <c r="F75" s="243">
        <f>VLOOKUP($D75,Base!$B$6:$L$119,F$3,FALSE)</f>
        <v>669.56812855708074</v>
      </c>
      <c r="G75" s="247">
        <f t="shared" si="8"/>
        <v>270.27354679538558</v>
      </c>
      <c r="H75" s="247">
        <f t="shared" si="9"/>
        <v>18.778597036235489</v>
      </c>
      <c r="I75" s="247">
        <f t="shared" si="10"/>
        <v>380.5159847254597</v>
      </c>
      <c r="J75" s="244">
        <f t="shared" si="11"/>
        <v>493.07688584529285</v>
      </c>
      <c r="K75" s="250">
        <f t="shared" si="12"/>
        <v>0.26358967099005515</v>
      </c>
      <c r="L75" s="251">
        <f t="shared" si="13"/>
        <v>56.872199999999999</v>
      </c>
      <c r="M75" s="253">
        <f t="shared" si="14"/>
        <v>1.0145074566298066E-4</v>
      </c>
      <c r="N75" s="249">
        <f>VLOOKUP($D75,Base!$B$6:$L$119,O$3,FALSE)</f>
        <v>137.57142857142856</v>
      </c>
    </row>
    <row r="76" spans="1:15" x14ac:dyDescent="0.2">
      <c r="C76" s="73">
        <v>8</v>
      </c>
      <c r="D76" s="140" t="s">
        <v>363</v>
      </c>
      <c r="E76" s="242" t="s">
        <v>477</v>
      </c>
      <c r="F76" s="243">
        <f>VLOOKUP($D76,Base!$B$6:$L$119,F$3,FALSE)</f>
        <v>753.26414462671585</v>
      </c>
      <c r="G76" s="247">
        <f t="shared" si="8"/>
        <v>270.27354679538558</v>
      </c>
      <c r="H76" s="247">
        <f t="shared" si="9"/>
        <v>18.778597036235489</v>
      </c>
      <c r="I76" s="247">
        <f t="shared" si="10"/>
        <v>464.21200079509481</v>
      </c>
      <c r="J76" s="244">
        <f t="shared" si="11"/>
        <v>576.77290191492796</v>
      </c>
      <c r="K76" s="250">
        <f t="shared" si="12"/>
        <v>0.23430192976893793</v>
      </c>
      <c r="L76" s="251">
        <f t="shared" si="13"/>
        <v>56.872199999999999</v>
      </c>
      <c r="M76" s="253">
        <f t="shared" si="14"/>
        <v>1.0145074566298066E-4</v>
      </c>
      <c r="N76" s="249">
        <f>VLOOKUP($D76,Base!$B$6:$L$119,O$3,FALSE)</f>
        <v>137.57142857142856</v>
      </c>
    </row>
    <row r="77" spans="1:15" ht="12" customHeight="1" x14ac:dyDescent="0.2">
      <c r="C77" s="73">
        <v>9</v>
      </c>
      <c r="D77" s="140" t="s">
        <v>365</v>
      </c>
      <c r="E77" s="242" t="s">
        <v>477</v>
      </c>
      <c r="F77" s="243">
        <f>VLOOKUP($D77,Base!$B$6:$L$119,F$3,FALSE)</f>
        <v>836.96016069635084</v>
      </c>
      <c r="G77" s="247">
        <f t="shared" si="8"/>
        <v>270.27354679538558</v>
      </c>
      <c r="H77" s="247">
        <f t="shared" si="9"/>
        <v>18.778597036235489</v>
      </c>
      <c r="I77" s="247">
        <f t="shared" si="10"/>
        <v>547.9080168647298</v>
      </c>
      <c r="J77" s="244">
        <f t="shared" si="11"/>
        <v>660.46891798456295</v>
      </c>
      <c r="K77" s="250">
        <f t="shared" si="12"/>
        <v>0.21087173679204418</v>
      </c>
      <c r="L77" s="251">
        <f t="shared" si="13"/>
        <v>56.872199999999999</v>
      </c>
      <c r="M77" s="253">
        <f t="shared" si="14"/>
        <v>1.0145074566298066E-4</v>
      </c>
      <c r="N77" s="249">
        <f>VLOOKUP($D77,Base!$B$6:$L$119,O$3,FALSE)</f>
        <v>137.57142857142856</v>
      </c>
    </row>
    <row r="78" spans="1:15" x14ac:dyDescent="0.2">
      <c r="C78" s="73">
        <v>10</v>
      </c>
      <c r="D78" s="140" t="s">
        <v>375</v>
      </c>
      <c r="E78" s="242" t="s">
        <v>477</v>
      </c>
      <c r="F78" s="243">
        <f>VLOOKUP($D78,Base!$B$6:$L$119,F$3,FALSE)</f>
        <v>502.17609641781053</v>
      </c>
      <c r="G78" s="247">
        <f t="shared" si="8"/>
        <v>274.90956561589923</v>
      </c>
      <c r="H78" s="247">
        <f t="shared" si="9"/>
        <v>18.797953998695078</v>
      </c>
      <c r="I78" s="247">
        <f t="shared" si="10"/>
        <v>208.46857680321625</v>
      </c>
      <c r="J78" s="244">
        <f t="shared" si="11"/>
        <v>322.65748853259288</v>
      </c>
      <c r="K78" s="250">
        <f t="shared" si="12"/>
        <v>0.35748138783543004</v>
      </c>
      <c r="L78" s="251">
        <f t="shared" si="13"/>
        <v>10862.590199999999</v>
      </c>
      <c r="M78" s="253">
        <f t="shared" si="14"/>
        <v>1.9377092421629303E-2</v>
      </c>
      <c r="N78" s="249">
        <f>VLOOKUP($D78,Base!$B$6:$L$119,O$3,FALSE)</f>
        <v>143.44444444444446</v>
      </c>
    </row>
    <row r="79" spans="1:15" ht="12" customHeight="1" x14ac:dyDescent="0.2">
      <c r="C79" s="73">
        <v>11</v>
      </c>
      <c r="D79" s="140" t="s">
        <v>368</v>
      </c>
      <c r="E79" s="242" t="s">
        <v>477</v>
      </c>
      <c r="F79" s="243">
        <f>VLOOKUP($D79,Base!$B$6:$L$119,F$3,FALSE)</f>
        <v>585.87211248744552</v>
      </c>
      <c r="G79" s="247">
        <f t="shared" si="8"/>
        <v>270.27354679538558</v>
      </c>
      <c r="H79" s="247">
        <f t="shared" si="9"/>
        <v>18.778597036235489</v>
      </c>
      <c r="I79" s="247">
        <f t="shared" si="10"/>
        <v>296.81996865582448</v>
      </c>
      <c r="J79" s="244">
        <f t="shared" si="11"/>
        <v>409.38086977565763</v>
      </c>
      <c r="K79" s="250">
        <f t="shared" si="12"/>
        <v>0.30124533827434885</v>
      </c>
      <c r="L79" s="251">
        <f t="shared" si="13"/>
        <v>5573.4755999999998</v>
      </c>
      <c r="M79" s="253">
        <f t="shared" si="14"/>
        <v>9.9421730749721035E-3</v>
      </c>
      <c r="N79" s="249">
        <f>VLOOKUP($D79,Base!$B$6:$L$119,O$3,FALSE)</f>
        <v>137.57142857142856</v>
      </c>
    </row>
    <row r="80" spans="1:15" x14ac:dyDescent="0.2">
      <c r="C80" s="73">
        <v>12</v>
      </c>
      <c r="D80" s="140" t="s">
        <v>371</v>
      </c>
      <c r="E80" s="242" t="s">
        <v>477</v>
      </c>
      <c r="F80" s="243">
        <f>VLOOKUP($D80,Base!$B$6:$L$119,F$3,FALSE)</f>
        <v>669.56812855708074</v>
      </c>
      <c r="G80" s="247">
        <f t="shared" si="8"/>
        <v>270.27354679538558</v>
      </c>
      <c r="H80" s="247">
        <f t="shared" si="9"/>
        <v>18.778597036235489</v>
      </c>
      <c r="I80" s="247">
        <f t="shared" si="10"/>
        <v>380.5159847254597</v>
      </c>
      <c r="J80" s="244">
        <f t="shared" si="11"/>
        <v>493.07688584529285</v>
      </c>
      <c r="K80" s="250">
        <f t="shared" si="12"/>
        <v>0.26358967099005515</v>
      </c>
      <c r="L80" s="251">
        <f t="shared" si="13"/>
        <v>3412.3319999999999</v>
      </c>
      <c r="M80" s="253">
        <f t="shared" si="14"/>
        <v>6.0870447397788395E-3</v>
      </c>
      <c r="N80" s="249">
        <f>VLOOKUP($D80,Base!$B$6:$L$119,O$3,FALSE)</f>
        <v>137.57142857142856</v>
      </c>
    </row>
    <row r="81" spans="3:14" ht="12" customHeight="1" x14ac:dyDescent="0.2">
      <c r="C81" s="73">
        <v>13</v>
      </c>
      <c r="D81" s="140" t="s">
        <v>373</v>
      </c>
      <c r="E81" s="242" t="s">
        <v>477</v>
      </c>
      <c r="F81" s="243">
        <f>VLOOKUP($D81,Base!$B$6:$L$119,F$3,FALSE)</f>
        <v>753.26414462671585</v>
      </c>
      <c r="G81" s="247">
        <f t="shared" si="8"/>
        <v>270.27354679538558</v>
      </c>
      <c r="H81" s="247">
        <f t="shared" si="9"/>
        <v>18.778597036235489</v>
      </c>
      <c r="I81" s="247">
        <f t="shared" si="10"/>
        <v>464.21200079509481</v>
      </c>
      <c r="J81" s="244">
        <f t="shared" si="11"/>
        <v>576.77290191492796</v>
      </c>
      <c r="K81" s="250">
        <f t="shared" si="12"/>
        <v>0.23430192976893793</v>
      </c>
      <c r="L81" s="251">
        <f t="shared" si="13"/>
        <v>170.61659999999998</v>
      </c>
      <c r="M81" s="253">
        <f t="shared" si="14"/>
        <v>3.0435223698894196E-4</v>
      </c>
      <c r="N81" s="249">
        <f>VLOOKUP($D81,Base!$B$6:$L$119,O$3,FALSE)</f>
        <v>137.57142857142856</v>
      </c>
    </row>
    <row r="82" spans="3:14" x14ac:dyDescent="0.2">
      <c r="C82" s="73">
        <v>14</v>
      </c>
      <c r="D82" s="140" t="s">
        <v>370</v>
      </c>
      <c r="E82" s="242" t="s">
        <v>477</v>
      </c>
      <c r="F82" s="243">
        <f>VLOOKUP($D82,Base!$B$6:$L$119,F$3,FALSE)</f>
        <v>836.96016069635084</v>
      </c>
      <c r="G82" s="247">
        <f t="shared" si="8"/>
        <v>270.27354679538558</v>
      </c>
      <c r="H82" s="247">
        <f t="shared" si="9"/>
        <v>18.778597036235489</v>
      </c>
      <c r="I82" s="247">
        <f t="shared" si="10"/>
        <v>547.9080168647298</v>
      </c>
      <c r="J82" s="244">
        <f t="shared" si="11"/>
        <v>660.46891798456295</v>
      </c>
      <c r="K82" s="250">
        <f t="shared" si="12"/>
        <v>0.21087173679204418</v>
      </c>
      <c r="L82" s="251">
        <f t="shared" si="13"/>
        <v>56.872199999999999</v>
      </c>
      <c r="M82" s="253">
        <f t="shared" si="14"/>
        <v>1.0145074566298066E-4</v>
      </c>
      <c r="N82" s="249">
        <f>VLOOKUP($D82,Base!$B$6:$L$119,O$3,FALSE)</f>
        <v>137.57142857142856</v>
      </c>
    </row>
    <row r="83" spans="3:14" ht="12" customHeight="1" x14ac:dyDescent="0.2">
      <c r="C83" s="73">
        <v>15</v>
      </c>
      <c r="D83" s="140" t="s">
        <v>376</v>
      </c>
      <c r="E83" s="242" t="s">
        <v>477</v>
      </c>
      <c r="F83" s="243">
        <f>VLOOKUP($D83,Base!$B$6:$L$119,F$3,FALSE)</f>
        <v>585.87211248744552</v>
      </c>
      <c r="G83" s="247">
        <f t="shared" si="8"/>
        <v>274.90956561589923</v>
      </c>
      <c r="H83" s="247">
        <f t="shared" si="9"/>
        <v>18.797953998695078</v>
      </c>
      <c r="I83" s="247">
        <f t="shared" si="10"/>
        <v>292.16459287285124</v>
      </c>
      <c r="J83" s="244">
        <f t="shared" si="11"/>
        <v>406.35350460222787</v>
      </c>
      <c r="K83" s="250">
        <f t="shared" si="12"/>
        <v>0.30641261814465437</v>
      </c>
      <c r="L83" s="251">
        <f t="shared" si="13"/>
        <v>56.872199999999999</v>
      </c>
      <c r="M83" s="253">
        <f t="shared" si="14"/>
        <v>1.0145074566298066E-4</v>
      </c>
      <c r="N83" s="249">
        <f>VLOOKUP($D83,Base!$B$6:$L$119,O$3,FALSE)</f>
        <v>143.44444444444446</v>
      </c>
    </row>
    <row r="84" spans="3:14" x14ac:dyDescent="0.2">
      <c r="C84" s="73">
        <v>16</v>
      </c>
      <c r="D84" s="140" t="s">
        <v>369</v>
      </c>
      <c r="E84" s="242" t="s">
        <v>477</v>
      </c>
      <c r="F84" s="243">
        <f>VLOOKUP($D84,Base!$B$6:$L$119,F$3,FALSE)</f>
        <v>669.56812855708074</v>
      </c>
      <c r="G84" s="247">
        <f t="shared" si="8"/>
        <v>270.27354679538558</v>
      </c>
      <c r="H84" s="247">
        <f t="shared" si="9"/>
        <v>18.778597036235489</v>
      </c>
      <c r="I84" s="247">
        <f t="shared" si="10"/>
        <v>380.5159847254597</v>
      </c>
      <c r="J84" s="244">
        <f t="shared" si="11"/>
        <v>493.07688584529285</v>
      </c>
      <c r="K84" s="250">
        <f t="shared" si="12"/>
        <v>0.26358967099005515</v>
      </c>
      <c r="L84" s="251">
        <f t="shared" si="13"/>
        <v>56.872199999999999</v>
      </c>
      <c r="M84" s="253">
        <f t="shared" si="14"/>
        <v>1.0145074566298066E-4</v>
      </c>
      <c r="N84" s="249">
        <f>VLOOKUP($D84,Base!$B$6:$L$119,O$3,FALSE)</f>
        <v>137.57142857142856</v>
      </c>
    </row>
    <row r="85" spans="3:14" ht="12" customHeight="1" x14ac:dyDescent="0.2">
      <c r="C85" s="73">
        <v>17</v>
      </c>
      <c r="D85" s="140" t="s">
        <v>372</v>
      </c>
      <c r="E85" s="242" t="s">
        <v>477</v>
      </c>
      <c r="F85" s="243">
        <f>VLOOKUP($D85,Base!$B$6:$L$119,F$3,FALSE)</f>
        <v>753.26414462671585</v>
      </c>
      <c r="G85" s="247">
        <f t="shared" si="8"/>
        <v>270.27354679538558</v>
      </c>
      <c r="H85" s="247">
        <f t="shared" si="9"/>
        <v>18.778597036235489</v>
      </c>
      <c r="I85" s="247">
        <f t="shared" si="10"/>
        <v>464.21200079509481</v>
      </c>
      <c r="J85" s="244">
        <f t="shared" si="11"/>
        <v>576.77290191492796</v>
      </c>
      <c r="K85" s="250">
        <f t="shared" si="12"/>
        <v>0.23430192976893793</v>
      </c>
      <c r="L85" s="251">
        <f t="shared" si="13"/>
        <v>56.872199999999999</v>
      </c>
      <c r="M85" s="253">
        <f t="shared" si="14"/>
        <v>1.0145074566298066E-4</v>
      </c>
      <c r="N85" s="249">
        <f>VLOOKUP($D85,Base!$B$6:$L$119,O$3,FALSE)</f>
        <v>137.57142857142856</v>
      </c>
    </row>
    <row r="86" spans="3:14" x14ac:dyDescent="0.2">
      <c r="C86" s="73">
        <v>18</v>
      </c>
      <c r="D86" s="140" t="s">
        <v>374</v>
      </c>
      <c r="E86" s="242" t="s">
        <v>477</v>
      </c>
      <c r="F86" s="243">
        <f>VLOOKUP($D86,Base!$B$6:$L$119,F$3,FALSE)</f>
        <v>836.96016069635084</v>
      </c>
      <c r="G86" s="247">
        <f t="shared" si="8"/>
        <v>270.27354679538558</v>
      </c>
      <c r="H86" s="247">
        <f t="shared" si="9"/>
        <v>18.778597036235489</v>
      </c>
      <c r="I86" s="247">
        <f t="shared" si="10"/>
        <v>547.9080168647298</v>
      </c>
      <c r="J86" s="244">
        <f t="shared" si="11"/>
        <v>660.46891798456295</v>
      </c>
      <c r="K86" s="250">
        <f t="shared" si="12"/>
        <v>0.21087173679204418</v>
      </c>
      <c r="L86" s="251">
        <f t="shared" si="13"/>
        <v>56.872199999999999</v>
      </c>
      <c r="M86" s="253">
        <f t="shared" si="14"/>
        <v>1.0145074566298066E-4</v>
      </c>
      <c r="N86" s="249">
        <f>VLOOKUP($D86,Base!$B$6:$L$119,O$3,FALSE)</f>
        <v>137.57142857142856</v>
      </c>
    </row>
    <row r="87" spans="3:14" ht="12" customHeight="1" x14ac:dyDescent="0.2">
      <c r="C87" s="73">
        <v>19</v>
      </c>
      <c r="D87" s="140" t="s">
        <v>311</v>
      </c>
      <c r="E87" s="242" t="s">
        <v>477</v>
      </c>
      <c r="F87" s="243">
        <f>VLOOKUP($D87,Base!$B$6:$L$119,F$3,FALSE)</f>
        <v>569.13290927351864</v>
      </c>
      <c r="G87" s="247">
        <f t="shared" si="8"/>
        <v>324.20883182118638</v>
      </c>
      <c r="H87" s="247">
        <f t="shared" si="9"/>
        <v>18.973014203681604</v>
      </c>
      <c r="I87" s="247">
        <f t="shared" si="10"/>
        <v>225.95106324865071</v>
      </c>
      <c r="J87" s="244">
        <f t="shared" si="11"/>
        <v>357.42140326520979</v>
      </c>
      <c r="K87" s="250">
        <f t="shared" si="12"/>
        <v>0.37198956967459906</v>
      </c>
      <c r="L87" s="251">
        <f t="shared" si="13"/>
        <v>36113.847000000002</v>
      </c>
      <c r="M87" s="253">
        <f t="shared" si="14"/>
        <v>6.4421223495992719E-2</v>
      </c>
      <c r="N87" s="249">
        <f>VLOOKUP($D87,Base!$B$6:$L$119,O$3,FALSE)</f>
        <v>218</v>
      </c>
    </row>
    <row r="88" spans="3:14" x14ac:dyDescent="0.2">
      <c r="C88" s="73">
        <v>20</v>
      </c>
      <c r="D88" s="140" t="s">
        <v>304</v>
      </c>
      <c r="E88" s="242" t="s">
        <v>477</v>
      </c>
      <c r="F88" s="243">
        <f>VLOOKUP($D88,Base!$B$6:$L$119,F$3,FALSE)</f>
        <v>652.82892534315374</v>
      </c>
      <c r="G88" s="247">
        <f t="shared" si="8"/>
        <v>324.79716898025481</v>
      </c>
      <c r="H88" s="247">
        <f t="shared" si="9"/>
        <v>18.974815033481072</v>
      </c>
      <c r="I88" s="247">
        <f t="shared" si="10"/>
        <v>309.05694132941784</v>
      </c>
      <c r="J88" s="244">
        <f t="shared" si="11"/>
        <v>440.73322947398458</v>
      </c>
      <c r="K88" s="250">
        <f t="shared" si="12"/>
        <v>0.32488709926215809</v>
      </c>
      <c r="L88" s="251">
        <f t="shared" si="13"/>
        <v>12113.7786</v>
      </c>
      <c r="M88" s="253">
        <f t="shared" si="14"/>
        <v>2.160900882621488E-2</v>
      </c>
      <c r="N88" s="249">
        <f>VLOOKUP($D88,Base!$B$6:$L$119,O$3,FALSE)</f>
        <v>218.44444444444446</v>
      </c>
    </row>
    <row r="89" spans="3:14" ht="12" customHeight="1" x14ac:dyDescent="0.2">
      <c r="C89" s="73">
        <v>21</v>
      </c>
      <c r="D89" s="140" t="s">
        <v>307</v>
      </c>
      <c r="E89" s="242" t="s">
        <v>477</v>
      </c>
      <c r="F89" s="243">
        <f>VLOOKUP($D89,Base!$B$6:$L$119,F$3,FALSE)</f>
        <v>736.52494141278873</v>
      </c>
      <c r="G89" s="247">
        <f t="shared" si="8"/>
        <v>324.20883182118638</v>
      </c>
      <c r="H89" s="247">
        <f t="shared" si="9"/>
        <v>18.973014203681604</v>
      </c>
      <c r="I89" s="247">
        <f t="shared" si="10"/>
        <v>393.34309538792081</v>
      </c>
      <c r="J89" s="244">
        <f t="shared" si="11"/>
        <v>524.81343540447983</v>
      </c>
      <c r="K89" s="250">
        <f t="shared" si="12"/>
        <v>0.28744648565764486</v>
      </c>
      <c r="L89" s="251">
        <f t="shared" si="13"/>
        <v>31620.943199999998</v>
      </c>
      <c r="M89" s="253">
        <f t="shared" si="14"/>
        <v>5.6406614588617239E-2</v>
      </c>
      <c r="N89" s="249">
        <f>VLOOKUP($D89,Base!$B$6:$L$119,O$3,FALSE)</f>
        <v>218</v>
      </c>
    </row>
    <row r="90" spans="3:14" x14ac:dyDescent="0.2">
      <c r="C90" s="73">
        <v>22</v>
      </c>
      <c r="D90" s="140" t="s">
        <v>309</v>
      </c>
      <c r="E90" s="242" t="s">
        <v>477</v>
      </c>
      <c r="F90" s="243">
        <f>VLOOKUP($D90,Base!$B$6:$L$119,F$3,FALSE)</f>
        <v>820.22095748242384</v>
      </c>
      <c r="G90" s="247">
        <f t="shared" si="8"/>
        <v>324.20883182118638</v>
      </c>
      <c r="H90" s="247">
        <f t="shared" si="9"/>
        <v>18.973014203681604</v>
      </c>
      <c r="I90" s="247">
        <f t="shared" si="10"/>
        <v>477.03911145755592</v>
      </c>
      <c r="J90" s="244">
        <f t="shared" si="11"/>
        <v>608.50945147411494</v>
      </c>
      <c r="K90" s="250">
        <f t="shared" si="12"/>
        <v>0.25811521161094642</v>
      </c>
      <c r="L90" s="251">
        <f t="shared" si="13"/>
        <v>6938.4084000000003</v>
      </c>
      <c r="M90" s="253">
        <f t="shared" si="14"/>
        <v>1.237699097088364E-2</v>
      </c>
      <c r="N90" s="249">
        <f>VLOOKUP($D90,Base!$B$6:$L$119,O$3,FALSE)</f>
        <v>218</v>
      </c>
    </row>
    <row r="91" spans="3:14" ht="12" customHeight="1" x14ac:dyDescent="0.2">
      <c r="C91" s="73">
        <v>23</v>
      </c>
      <c r="D91" s="140" t="s">
        <v>306</v>
      </c>
      <c r="E91" s="242" t="s">
        <v>477</v>
      </c>
      <c r="F91" s="243">
        <f>VLOOKUP($D91,Base!$B$6:$L$119,F$3,FALSE)</f>
        <v>903.91697355205895</v>
      </c>
      <c r="G91" s="247">
        <f t="shared" si="8"/>
        <v>324.20883182118638</v>
      </c>
      <c r="H91" s="247">
        <f t="shared" si="9"/>
        <v>18.973014203681604</v>
      </c>
      <c r="I91" s="247">
        <f t="shared" si="10"/>
        <v>560.73512752719103</v>
      </c>
      <c r="J91" s="244">
        <f t="shared" si="11"/>
        <v>692.20546754375005</v>
      </c>
      <c r="K91" s="250">
        <f t="shared" si="12"/>
        <v>0.23421565498030317</v>
      </c>
      <c r="L91" s="251">
        <f t="shared" si="13"/>
        <v>5630.3478000000005</v>
      </c>
      <c r="M91" s="253">
        <f t="shared" si="14"/>
        <v>1.0043623820635086E-2</v>
      </c>
      <c r="N91" s="249">
        <f>VLOOKUP($D91,Base!$B$6:$L$119,O$3,FALSE)</f>
        <v>218</v>
      </c>
    </row>
    <row r="92" spans="3:14" x14ac:dyDescent="0.2">
      <c r="C92" s="73">
        <v>24</v>
      </c>
      <c r="D92" s="140" t="s">
        <v>312</v>
      </c>
      <c r="E92" s="242" t="s">
        <v>477</v>
      </c>
      <c r="F92" s="243">
        <f>VLOOKUP($D92,Base!$B$6:$L$119,F$3,FALSE)</f>
        <v>652.82892534315374</v>
      </c>
      <c r="G92" s="247">
        <f t="shared" si="8"/>
        <v>324.20883182118638</v>
      </c>
      <c r="H92" s="247">
        <f t="shared" si="9"/>
        <v>18.973014203681604</v>
      </c>
      <c r="I92" s="247">
        <f t="shared" si="10"/>
        <v>309.64707931828582</v>
      </c>
      <c r="J92" s="244">
        <f t="shared" si="11"/>
        <v>441.1174193348449</v>
      </c>
      <c r="K92" s="250">
        <f t="shared" si="12"/>
        <v>0.32429859920349668</v>
      </c>
      <c r="L92" s="251">
        <f t="shared" si="13"/>
        <v>56.872199999999999</v>
      </c>
      <c r="M92" s="253">
        <f t="shared" si="14"/>
        <v>1.0145074566298066E-4</v>
      </c>
      <c r="N92" s="249">
        <f>VLOOKUP($D92,Base!$B$6:$L$119,O$3,FALSE)</f>
        <v>218</v>
      </c>
    </row>
    <row r="93" spans="3:14" ht="12" customHeight="1" x14ac:dyDescent="0.2">
      <c r="C93" s="73">
        <v>25</v>
      </c>
      <c r="D93" s="140" t="s">
        <v>305</v>
      </c>
      <c r="E93" s="242" t="s">
        <v>477</v>
      </c>
      <c r="F93" s="243">
        <f>VLOOKUP($D93,Base!$B$6:$L$119,F$3,FALSE)</f>
        <v>736.52494141278873</v>
      </c>
      <c r="G93" s="247">
        <f t="shared" si="8"/>
        <v>324.20883182118638</v>
      </c>
      <c r="H93" s="247">
        <f t="shared" si="9"/>
        <v>18.973014203681604</v>
      </c>
      <c r="I93" s="247">
        <f t="shared" si="10"/>
        <v>393.34309538792081</v>
      </c>
      <c r="J93" s="244">
        <f t="shared" si="11"/>
        <v>524.81343540447983</v>
      </c>
      <c r="K93" s="250">
        <f t="shared" si="12"/>
        <v>0.28744648565764486</v>
      </c>
      <c r="L93" s="251">
        <f t="shared" si="13"/>
        <v>56.872199999999999</v>
      </c>
      <c r="M93" s="253">
        <f t="shared" si="14"/>
        <v>1.0145074566298066E-4</v>
      </c>
      <c r="N93" s="249">
        <f>VLOOKUP($D93,Base!$B$6:$L$119,O$3,FALSE)</f>
        <v>218</v>
      </c>
    </row>
    <row r="94" spans="3:14" x14ac:dyDescent="0.2">
      <c r="C94" s="73">
        <v>26</v>
      </c>
      <c r="D94" s="140" t="s">
        <v>308</v>
      </c>
      <c r="E94" s="242" t="s">
        <v>477</v>
      </c>
      <c r="F94" s="243">
        <f>VLOOKUP($D94,Base!$B$6:$L$119,F$3,FALSE)</f>
        <v>820.22095748242384</v>
      </c>
      <c r="G94" s="247">
        <f t="shared" si="8"/>
        <v>324.20883182118638</v>
      </c>
      <c r="H94" s="247">
        <f t="shared" si="9"/>
        <v>18.973014203681604</v>
      </c>
      <c r="I94" s="247">
        <f t="shared" si="10"/>
        <v>477.03911145755592</v>
      </c>
      <c r="J94" s="244">
        <f t="shared" si="11"/>
        <v>608.50945147411494</v>
      </c>
      <c r="K94" s="250">
        <f t="shared" si="12"/>
        <v>0.25811521161094642</v>
      </c>
      <c r="L94" s="251">
        <f t="shared" si="13"/>
        <v>56.872199999999999</v>
      </c>
      <c r="M94" s="253">
        <f t="shared" si="14"/>
        <v>1.0145074566298066E-4</v>
      </c>
      <c r="N94" s="249">
        <f>VLOOKUP($D94,Base!$B$6:$L$119,O$3,FALSE)</f>
        <v>218</v>
      </c>
    </row>
    <row r="95" spans="3:14" ht="12" customHeight="1" x14ac:dyDescent="0.2">
      <c r="C95" s="73">
        <v>27</v>
      </c>
      <c r="D95" s="140" t="s">
        <v>310</v>
      </c>
      <c r="E95" s="242" t="s">
        <v>477</v>
      </c>
      <c r="F95" s="243">
        <f>VLOOKUP($D95,Base!$B$6:$L$119,F$3,FALSE)</f>
        <v>903.91697355205895</v>
      </c>
      <c r="G95" s="247">
        <f t="shared" si="8"/>
        <v>324.20883182118638</v>
      </c>
      <c r="H95" s="247">
        <f t="shared" si="9"/>
        <v>18.973014203681604</v>
      </c>
      <c r="I95" s="247">
        <f t="shared" si="10"/>
        <v>560.73512752719103</v>
      </c>
      <c r="J95" s="244">
        <f t="shared" si="11"/>
        <v>692.20546754375005</v>
      </c>
      <c r="K95" s="250">
        <f t="shared" si="12"/>
        <v>0.23421565498030317</v>
      </c>
      <c r="L95" s="251">
        <f t="shared" si="13"/>
        <v>56.872199999999999</v>
      </c>
      <c r="M95" s="253">
        <f t="shared" si="14"/>
        <v>1.0145074566298066E-4</v>
      </c>
      <c r="N95" s="249">
        <f>VLOOKUP($D95,Base!$B$6:$L$119,O$3,FALSE)</f>
        <v>218</v>
      </c>
    </row>
    <row r="96" spans="3:14" x14ac:dyDescent="0.2">
      <c r="C96" s="73">
        <v>28</v>
      </c>
      <c r="D96" s="140" t="s">
        <v>320</v>
      </c>
      <c r="E96" s="242" t="s">
        <v>477</v>
      </c>
      <c r="F96" s="243">
        <f>VLOOKUP($D96,Base!$B$6:$L$119,F$3,FALSE)</f>
        <v>569.13290927351864</v>
      </c>
      <c r="G96" s="247">
        <f t="shared" si="8"/>
        <v>324.20883182118638</v>
      </c>
      <c r="H96" s="247">
        <f t="shared" si="9"/>
        <v>18.973014203681604</v>
      </c>
      <c r="I96" s="247">
        <f t="shared" si="10"/>
        <v>225.95106324865071</v>
      </c>
      <c r="J96" s="244">
        <f t="shared" si="11"/>
        <v>357.42140326520979</v>
      </c>
      <c r="K96" s="250">
        <f t="shared" si="12"/>
        <v>0.37198956967459906</v>
      </c>
      <c r="L96" s="251">
        <f t="shared" si="13"/>
        <v>1023.6995999999999</v>
      </c>
      <c r="M96" s="253">
        <f t="shared" si="14"/>
        <v>1.8261134219336517E-3</v>
      </c>
      <c r="N96" s="249">
        <f>VLOOKUP($D96,Base!$B$6:$L$119,O$3,FALSE)</f>
        <v>218</v>
      </c>
    </row>
    <row r="97" spans="3:14" ht="12" customHeight="1" x14ac:dyDescent="0.2">
      <c r="C97" s="73">
        <v>29</v>
      </c>
      <c r="D97" s="140" t="s">
        <v>313</v>
      </c>
      <c r="E97" s="242" t="s">
        <v>477</v>
      </c>
      <c r="F97" s="243">
        <f>VLOOKUP($D97,Base!$B$6:$L$119,F$3,FALSE)</f>
        <v>652.82892534315374</v>
      </c>
      <c r="G97" s="247">
        <f t="shared" si="8"/>
        <v>324.20883182118638</v>
      </c>
      <c r="H97" s="247">
        <f t="shared" si="9"/>
        <v>18.973014203681604</v>
      </c>
      <c r="I97" s="247">
        <f t="shared" si="10"/>
        <v>309.64707931828582</v>
      </c>
      <c r="J97" s="244">
        <f t="shared" si="11"/>
        <v>441.1174193348449</v>
      </c>
      <c r="K97" s="250">
        <f t="shared" si="12"/>
        <v>0.32429859920349668</v>
      </c>
      <c r="L97" s="251">
        <f t="shared" si="13"/>
        <v>1080.5717999999999</v>
      </c>
      <c r="M97" s="253">
        <f t="shared" si="14"/>
        <v>1.9275641675966324E-3</v>
      </c>
      <c r="N97" s="249">
        <f>VLOOKUP($D97,Base!$B$6:$L$119,O$3,FALSE)</f>
        <v>218</v>
      </c>
    </row>
    <row r="98" spans="3:14" x14ac:dyDescent="0.2">
      <c r="C98" s="73">
        <v>30</v>
      </c>
      <c r="D98" s="140" t="s">
        <v>316</v>
      </c>
      <c r="E98" s="242" t="s">
        <v>477</v>
      </c>
      <c r="F98" s="243">
        <f>VLOOKUP($D98,Base!$B$6:$L$119,F$3,FALSE)</f>
        <v>736.52494141278873</v>
      </c>
      <c r="G98" s="247">
        <f t="shared" si="8"/>
        <v>324.20883182118638</v>
      </c>
      <c r="H98" s="247">
        <f t="shared" si="9"/>
        <v>18.973014203681604</v>
      </c>
      <c r="I98" s="247">
        <f t="shared" si="10"/>
        <v>393.34309538792081</v>
      </c>
      <c r="J98" s="244">
        <f t="shared" si="11"/>
        <v>524.81343540447983</v>
      </c>
      <c r="K98" s="250">
        <f t="shared" si="12"/>
        <v>0.28744648565764486</v>
      </c>
      <c r="L98" s="251">
        <f t="shared" si="13"/>
        <v>1137.444</v>
      </c>
      <c r="M98" s="253">
        <f t="shared" si="14"/>
        <v>2.0290149132596129E-3</v>
      </c>
      <c r="N98" s="249">
        <f>VLOOKUP($D98,Base!$B$6:$L$119,O$3,FALSE)</f>
        <v>218</v>
      </c>
    </row>
    <row r="99" spans="3:14" ht="12" customHeight="1" x14ac:dyDescent="0.2">
      <c r="C99" s="73">
        <v>31</v>
      </c>
      <c r="D99" s="140" t="s">
        <v>318</v>
      </c>
      <c r="E99" s="242" t="s">
        <v>477</v>
      </c>
      <c r="F99" s="243">
        <f>VLOOKUP($D99,Base!$B$6:$L$119,F$3,FALSE)</f>
        <v>820.22095748242384</v>
      </c>
      <c r="G99" s="247">
        <f t="shared" si="8"/>
        <v>324.20883182118638</v>
      </c>
      <c r="H99" s="247">
        <f t="shared" si="9"/>
        <v>18.973014203681604</v>
      </c>
      <c r="I99" s="247">
        <f t="shared" si="10"/>
        <v>477.03911145755592</v>
      </c>
      <c r="J99" s="244">
        <f t="shared" si="11"/>
        <v>608.50945147411494</v>
      </c>
      <c r="K99" s="250">
        <f t="shared" si="12"/>
        <v>0.25811521161094642</v>
      </c>
      <c r="L99" s="251">
        <f t="shared" si="13"/>
        <v>568.72199999999998</v>
      </c>
      <c r="M99" s="253">
        <f t="shared" si="14"/>
        <v>1.0145074566298064E-3</v>
      </c>
      <c r="N99" s="249">
        <f>VLOOKUP($D99,Base!$B$6:$L$119,O$3,FALSE)</f>
        <v>218</v>
      </c>
    </row>
    <row r="100" spans="3:14" x14ac:dyDescent="0.2">
      <c r="C100" s="73">
        <v>32</v>
      </c>
      <c r="D100" s="140" t="s">
        <v>315</v>
      </c>
      <c r="E100" s="242" t="s">
        <v>477</v>
      </c>
      <c r="F100" s="243">
        <f>VLOOKUP($D100,Base!$B$6:$L$119,F$3,FALSE)</f>
        <v>903.91697355205895</v>
      </c>
      <c r="G100" s="247">
        <f t="shared" si="8"/>
        <v>324.20883182118638</v>
      </c>
      <c r="H100" s="247">
        <f t="shared" si="9"/>
        <v>18.973014203681604</v>
      </c>
      <c r="I100" s="247">
        <f t="shared" si="10"/>
        <v>560.73512752719103</v>
      </c>
      <c r="J100" s="244">
        <f t="shared" si="11"/>
        <v>692.20546754375005</v>
      </c>
      <c r="K100" s="250">
        <f t="shared" si="12"/>
        <v>0.23421565498030317</v>
      </c>
      <c r="L100" s="251">
        <f t="shared" si="13"/>
        <v>56.872199999999999</v>
      </c>
      <c r="M100" s="253">
        <f t="shared" si="14"/>
        <v>1.0145074566298066E-4</v>
      </c>
      <c r="N100" s="249">
        <f>VLOOKUP($D100,Base!$B$6:$L$119,O$3,FALSE)</f>
        <v>218</v>
      </c>
    </row>
    <row r="101" spans="3:14" ht="12" customHeight="1" x14ac:dyDescent="0.2">
      <c r="C101" s="73">
        <v>33</v>
      </c>
      <c r="D101" s="140" t="s">
        <v>321</v>
      </c>
      <c r="E101" s="242" t="s">
        <v>477</v>
      </c>
      <c r="F101" s="243">
        <f>VLOOKUP($D101,Base!$B$6:$L$119,F$3,FALSE)</f>
        <v>652.82892534315374</v>
      </c>
      <c r="G101" s="247">
        <f t="shared" si="8"/>
        <v>324.20883182118638</v>
      </c>
      <c r="H101" s="247">
        <f t="shared" si="9"/>
        <v>18.973014203681604</v>
      </c>
      <c r="I101" s="247">
        <f t="shared" si="10"/>
        <v>309.64707931828582</v>
      </c>
      <c r="J101" s="244">
        <f t="shared" si="11"/>
        <v>441.1174193348449</v>
      </c>
      <c r="K101" s="250">
        <f t="shared" si="12"/>
        <v>0.32429859920349668</v>
      </c>
      <c r="L101" s="251">
        <f t="shared" si="13"/>
        <v>56.872199999999999</v>
      </c>
      <c r="M101" s="253">
        <f t="shared" si="14"/>
        <v>1.0145074566298066E-4</v>
      </c>
      <c r="N101" s="249">
        <f>VLOOKUP($D101,Base!$B$6:$L$119,O$3,FALSE)</f>
        <v>218</v>
      </c>
    </row>
    <row r="102" spans="3:14" x14ac:dyDescent="0.2">
      <c r="C102" s="73">
        <v>34</v>
      </c>
      <c r="D102" s="140" t="s">
        <v>314</v>
      </c>
      <c r="E102" s="242" t="s">
        <v>477</v>
      </c>
      <c r="F102" s="243">
        <f>VLOOKUP($D102,Base!$B$6:$L$119,F$3,FALSE)</f>
        <v>736.52494141278873</v>
      </c>
      <c r="G102" s="247">
        <f t="shared" si="8"/>
        <v>324.20883182118638</v>
      </c>
      <c r="H102" s="247">
        <f t="shared" si="9"/>
        <v>18.973014203681604</v>
      </c>
      <c r="I102" s="247">
        <f t="shared" si="10"/>
        <v>393.34309538792081</v>
      </c>
      <c r="J102" s="244">
        <f t="shared" si="11"/>
        <v>524.81343540447983</v>
      </c>
      <c r="K102" s="250">
        <f t="shared" si="12"/>
        <v>0.28744648565764486</v>
      </c>
      <c r="L102" s="251">
        <f t="shared" si="13"/>
        <v>56.872199999999999</v>
      </c>
      <c r="M102" s="253">
        <f t="shared" si="14"/>
        <v>1.0145074566298066E-4</v>
      </c>
      <c r="N102" s="249">
        <f>VLOOKUP($D102,Base!$B$6:$L$119,O$3,FALSE)</f>
        <v>218</v>
      </c>
    </row>
    <row r="103" spans="3:14" ht="12" customHeight="1" x14ac:dyDescent="0.2">
      <c r="C103" s="73">
        <v>35</v>
      </c>
      <c r="D103" s="140" t="s">
        <v>317</v>
      </c>
      <c r="E103" s="242" t="s">
        <v>477</v>
      </c>
      <c r="F103" s="243">
        <f>VLOOKUP($D103,Base!$B$6:$L$119,F$3,FALSE)</f>
        <v>820.22095748242384</v>
      </c>
      <c r="G103" s="247">
        <f t="shared" si="8"/>
        <v>324.20883182118638</v>
      </c>
      <c r="H103" s="247">
        <f t="shared" si="9"/>
        <v>18.973014203681604</v>
      </c>
      <c r="I103" s="247">
        <f t="shared" si="10"/>
        <v>477.03911145755592</v>
      </c>
      <c r="J103" s="244">
        <f t="shared" si="11"/>
        <v>608.50945147411494</v>
      </c>
      <c r="K103" s="250">
        <f t="shared" si="12"/>
        <v>0.25811521161094642</v>
      </c>
      <c r="L103" s="251">
        <f t="shared" si="13"/>
        <v>56.872199999999999</v>
      </c>
      <c r="M103" s="253">
        <f t="shared" si="14"/>
        <v>1.0145074566298066E-4</v>
      </c>
      <c r="N103" s="249">
        <f>VLOOKUP($D103,Base!$B$6:$L$119,O$3,FALSE)</f>
        <v>218</v>
      </c>
    </row>
    <row r="104" spans="3:14" x14ac:dyDescent="0.2">
      <c r="C104" s="73">
        <v>36</v>
      </c>
      <c r="D104" s="140" t="s">
        <v>319</v>
      </c>
      <c r="E104" s="242" t="s">
        <v>477</v>
      </c>
      <c r="F104" s="243">
        <f>VLOOKUP($D104,Base!$B$6:$L$119,F$3,FALSE)</f>
        <v>903.91697355205895</v>
      </c>
      <c r="G104" s="247">
        <f t="shared" si="8"/>
        <v>324.20883182118638</v>
      </c>
      <c r="H104" s="247">
        <f t="shared" si="9"/>
        <v>18.973014203681604</v>
      </c>
      <c r="I104" s="247">
        <f t="shared" si="10"/>
        <v>560.73512752719103</v>
      </c>
      <c r="J104" s="244">
        <f t="shared" si="11"/>
        <v>692.20546754375005</v>
      </c>
      <c r="K104" s="250">
        <f t="shared" si="12"/>
        <v>0.23421565498030317</v>
      </c>
      <c r="L104" s="251">
        <f t="shared" si="13"/>
        <v>56.872199999999999</v>
      </c>
      <c r="M104" s="253">
        <f t="shared" si="14"/>
        <v>1.0145074566298066E-4</v>
      </c>
      <c r="N104" s="249">
        <f>VLOOKUP($D104,Base!$B$6:$L$119,O$3,FALSE)</f>
        <v>218</v>
      </c>
    </row>
    <row r="105" spans="3:14" ht="12" customHeight="1" x14ac:dyDescent="0.2">
      <c r="C105" s="73">
        <v>37</v>
      </c>
      <c r="D105" s="140" t="s">
        <v>377</v>
      </c>
      <c r="E105" s="242" t="s">
        <v>477</v>
      </c>
      <c r="F105" s="243">
        <f>VLOOKUP($D105,Base!$B$6:$L$119,F$3,FALSE)</f>
        <v>920.65617676598595</v>
      </c>
      <c r="G105" s="247">
        <f t="shared" si="8"/>
        <v>329.44476860544421</v>
      </c>
      <c r="H105" s="247">
        <f t="shared" si="9"/>
        <v>18.988837437267623</v>
      </c>
      <c r="I105" s="247">
        <f t="shared" si="10"/>
        <v>572.2225707232742</v>
      </c>
      <c r="J105" s="244">
        <f t="shared" si="11"/>
        <v>705.52555334581427</v>
      </c>
      <c r="K105" s="250">
        <f t="shared" si="12"/>
        <v>0.23367097169311013</v>
      </c>
      <c r="L105" s="251">
        <f t="shared" si="13"/>
        <v>5118.4979999999996</v>
      </c>
      <c r="M105" s="253">
        <f t="shared" si="14"/>
        <v>9.130567109668258E-3</v>
      </c>
      <c r="N105" s="249">
        <f>VLOOKUP($D105,Base!$B$6:$L$119,O$3,FALSE)</f>
        <v>227</v>
      </c>
    </row>
    <row r="106" spans="3:14" ht="25.5" customHeight="1" x14ac:dyDescent="0.2">
      <c r="D106" t="s">
        <v>494</v>
      </c>
      <c r="J106" s="252" t="s">
        <v>486</v>
      </c>
      <c r="K106" s="254">
        <f>SUMPRODUCT(K69:K105,M69:M105)/SUM(M69:M105)</f>
        <v>0.32565589053971861</v>
      </c>
    </row>
    <row r="107" spans="3:14" ht="25.5" customHeight="1" x14ac:dyDescent="0.2"/>
    <row r="108" spans="3:14" ht="25.5" customHeight="1" x14ac:dyDescent="0.2"/>
  </sheetData>
  <mergeCells count="3">
    <mergeCell ref="A3:B3"/>
    <mergeCell ref="A18:B18"/>
    <mergeCell ref="A64:B6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9">
    <tabColor theme="3" tint="9.9978637043366805E-2"/>
  </sheetPr>
  <dimension ref="C1:C3"/>
  <sheetViews>
    <sheetView showGridLines="0" zoomScale="145" zoomScaleNormal="145" workbookViewId="0">
      <pane ySplit="1" topLeftCell="A2" activePane="bottomLeft" state="frozen"/>
      <selection pane="bottomLeft" sqref="A1:XFD1048576"/>
    </sheetView>
  </sheetViews>
  <sheetFormatPr baseColWidth="10" defaultRowHeight="12" x14ac:dyDescent="0.2"/>
  <sheetData>
    <row r="1" spans="3:3" s="71" customFormat="1" ht="33.75" customHeight="1" x14ac:dyDescent="0.2">
      <c r="C1" s="71" t="s">
        <v>495</v>
      </c>
    </row>
    <row r="3" spans="3:3" x14ac:dyDescent="0.2">
      <c r="C3" t="s">
        <v>496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 C a n a s t a 2 0 2 4 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 C a n a s t a 2 0 2 4 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 C o l u m n s \ N o m b r e   d e   P l a n / P a q u e t e < / K e y > < / D i a g r a m O b j e c t K e y > < D i a g r a m O b j e c t K e y > < K e y > C o l u m n s \ T i p o * < / K e y > < / D i a g r a m O b j e c t K e y > < D i a g r a m O b j e c t K e y > < K e y > C o l u m n s \ T i p o   d e   p a q u e t e   c o n s i d e r a n d o   S T A R   ( s e r v i c i o s   i n c l u i d o s ) * < / K e y > < / D i a g r a m O b j e c t K e y > < D i a g r a m O b j e c t K e y > < K e y > C o l u m n s \ E s t a d o < / K e y > < / D i a g r a m O b j e c t K e y > < D i a g r a m O b j e c t K e y > < K e y > C o l u m n s \ M u n i c i p i o < / K e y > < / D i a g r a m O b j e c t K e y > < D i a g r a m O b j e c t K e y > < K e y > C o l u m n s \ L o c a l i d a d < / K e y > < / D i a g r a m O b j e c t K e y > < D i a g r a m O b j e c t K e y > < K e y > C o l u m n s \ F o l i o   R P C < / K e y > < / D i a g r a m O b j e c t K e y > < D i a g r a m O b j e c t K e y > < K e y > C o l u m n s \ R e n t a   m e n s u a l     ( s i n   i m p u e s t o s ) < / K e y > < / D i a g r a m O b j e c t K e y > < D i a g r a m O b j e c t K e y > < K e y > C o l u m n s \ R e n t a   m e n s u a l     ( c o n   i m p u e s t o s ) < / K e y > < / D i a g r a m O b j e c t K e y > < D i a g r a m O b j e c t K e y > < K e y > C o l u m n s \ C a n t i d a d   d e   T V   i n c l u i d a s < / K e y > < / D i a g r a m O b j e c t K e y > < D i a g r a m O b j e c t K e y > < K e y > C o l u m n s \ E n t r e t e n i m i e n t o < / K e y > < / D i a g r a m O b j e c t K e y > < D i a g r a m O b j e c t K e y > < K e y > C o l u m n s \ M � s i c a < / K e y > < / D i a g r a m O b j e c t K e y > < D i a g r a m O b j e c t K e y > < K e y > C o l u m n s \ N i � o s / F a m i l i a r < / K e y > < / D i a g r a m O b j e c t K e y > < D i a g r a m O b j e c t K e y > < K e y > C o l u m n s \ D o c u m e n t a l e s   /   C u l t u r a l e s < / K e y > < / D i a g r a m O b j e c t K e y > < D i a g r a m O b j e c t K e y > < K e y > C o l u m n s \ N a c i o n a l e s < / K e y > < / D i a g r a m O b j e c t K e y > < D i a g r a m O b j e c t K e y > < K e y > C o l u m n s \ I n t e r n a c i o n a l e s < / K e y > < / D i a g r a m O b j e c t K e y > < D i a g r a m O b j e c t K e y > < K e y > C o l u m n s \ D e p o r t e s < / K e y > < / D i a g r a m O b j e c t K e y > < D i a g r a m O b j e c t K e y > < K e y > C o l u m n s \ P e l � c u l a s < / K e y > < / D i a g r a m O b j e c t K e y > < D i a g r a m O b j e c t K e y > < K e y > C o l u m n s \ N � m e r o   d e   c a n a l e s   c o n   a l t a   d e f i n i c i � n   ( H D ) < / K e y > < / D i a g r a m O b j e c t K e y > < D i a g r a m O b j e c t K e y > < K e y > C o l u m n s \ N � m e r o   d e   c a n a l e s   " S o l o   A u d i o " < / K e y > < / D i a g r a m O b j e c t K e y > < D i a g r a m O b j e c t K e y > < K e y > C o l u m n s \ m a x < / K e y > < / D i a g r a m O b j e c t K e y > < D i a g r a m O b j e c t K e y > < K e y > C o l u m n s \ p a r a m o u n t   + < / K e y > < / D i a g r a m O b j e c t K e y > < D i a g r a m O b j e c t K e y > < K e y > C o l u m n s \ F o x   S p o r t   P r e m i u m < / K e y > < / D i a g r a m O b j e c t K e y > < D i a g r a m O b j e c t K e y > < K e y > C o l u m n s \ M L B < / K e y > < / D i a g r a m O b j e c t K e y > < D i a g r a m O b j e c t K e y > < K e y > C o l u m n s \ N B A   L e a g u e   P a s s < / K e y > < / D i a g r a m O b j e c t K e y > < D i a g r a m O b j e c t K e y > < K e y > C o l u m n s \ A d u l t   P a c k < / K e y > < / D i a g r a m O b j e c t K e y > < D i a g r a m O b j e c t K e y > < K e y > C o l u m n s \ o t r o s < / K e y > < / D i a g r a m O b j e c t K e y > < D i a g r a m O b j e c t K e y > < K e y > C o l u m n s \ C a n t i d a d   d e   l � n e a s   i n c l u i d a s < / K e y > < / D i a g r a m O b j e c t K e y > < D i a g r a m O b j e c t K e y > < K e y > C o l u m n s \ N a c i o n a l e s 2 < / K e y > < / D i a g r a m O b j e c t K e y > < D i a g r a m O b j e c t K e y > < K e y > C o l u m n s \ E s t d o s   U n i d o s   y   C a n a d � < / K e y > < / D i a g r a m O b j e c t K e y > < D i a g r a m O b j e c t K e y > < K e y > C o l u m n s \ N a c i o n a l e s 3 < / K e y > < / D i a g r a m O b j e c t K e y > < D i a g r a m O b j e c t K e y > < K e y > C o l u m n s \ E s t d o s   U n i d o s   y   C a n a d � 4 < / K e y > < / D i a g r a m O b j e c t K e y > < D i a g r a m O b j e c t K e y > < K e y > C o l u m n s \ V e l o c i d a d   d e   b a j a d a   o f e r t a d a   ( M b p s ) < / K e y > < / D i a g r a m O b j e c t K e y > < D i a g r a m O b j e c t K e y > < K e y > C o l u m n s \ V e l o c i d a d   d e   s u b i d a   o f e r t a d a   ( M b p s ) < / K e y > < / D i a g r a m O b j e c t K e y > < D i a g r a m O b j e c t K e y > < K e y > C o l u m n s \ � C u e n t a   c o n   p r o m o c i o n e s   q u e   i n c r e m e n t e n   s u   v e l o c i d a d   a   p a r t i r   d e l   p a g o   d e   l a   m i s m a   r e n t a   m e n s u a l ?   ( S < / K e y > < / D i a g r a m O b j e c t K e y > < D i a g r a m O b j e c t K e y > < K e y > C o l u m n s \ D u r a c i � n   d e l   p e r i o d o   d e   t i e m p o   ( e n   m e s e s )   e n   q u e   o f r e c e   l a   p r o m o c i � n   d e   i n c r e m e n t o   d e   v e l o c i d a d < / K e y > < / D i a g r a m O b j e c t K e y > < D i a g r a m O b j e c t K e y > < K e y > C o l u m n s \ V e l o c i d a d   d e   s u b i d a   o f e r t a d a   ( M b p s )   c o n   l a   p r o m o c i � n   d e   a u m e n t o   d e   v e l o c i d a d < / K e y > < / D i a g r a m O b j e c t K e y > < D i a g r a m O b j e c t K e y > < K e y > C o l u m n s \ V e l o c i d a d   d e   b a j a d a   o f e r t a d a   ( M b p s )   c o n   l a   p r o m o c i � n   d e   a u m e n t o   d e   v e l o c i d a d < / K e y > < / D i a g r a m O b j e c t K e y > < D i a g r a m O b j e c t K e y > < K e y > C o l u m n s \ V e l o c i d a d   d e   s u b i d a   o f e r t a d a   ( M b p s )   c o n   l a   p r o m o c i � n   d e   a u m e n t o   d e   v e l o c i d a d 5 < / K e y > < / D i a g r a m O b j e c t K e y > < D i a g r a m O b j e c t K e y > < K e y > C o l u m n s \ V e l o c i d a d   d e   b a j a d a   o f e r t a d a   ( M b p s )   c o n   l a   p r o m o c i � n   d e   a u m e n t o   d e   v e l o c i d a d 6 < / K e y > < / D i a g r a m O b j e c t K e y > < D i a g r a m O b j e c t K e y > < K e y > C o l u m n s \ V e l o c i d a d   d e   s u b i d a   o f e r t a d a   ( M b p s )   c o n   l a   p r o m o c i � n   d e   a u m e n t o   d e   v e l o c i d a d 7 < / K e y > < / D i a g r a m O b j e c t K e y > < D i a g r a m O b j e c t K e y > < K e y > C o l u m n s \ � C u e n t a   c o n   p r o m o c i o n e s   q u e   v u e l v a n   s u   v e l o c i d a d   s i m � t r i c a   p a r t i r   d e l   p a g o   d e   l a   m i s m a   r e n t a   m e n s u a l < / K e y > < / D i a g r a m O b j e c t K e y > < D i a g r a m O b j e c t K e y > < K e y > C o l u m n s \ D u r a c i � n   d e l   p e r i o d o   d e   t i e m p o   ( e n   m e s e s )   e n   q u e   o f r e c e   l a   p r o m o c i � n   d e   s i m e t r � a   e n   l a   v e l o c i d a d < / K e y > < / D i a g r a m O b j e c t K e y > < D i a g r a m O b j e c t K e y > < K e y > C o l u m n s \ � I n c l u y e   P a r a m o u n t   + ? < / K e y > < / D i a g r a m O b j e c t K e y > < D i a g r a m O b j e c t K e y > < K e y > C o l u m n s \ T � r m i n o s   y   c o n d i c i o n e s   d e l   s e r v i c i o * * < / K e y > < / D i a g r a m O b j e c t K e y > < D i a g r a m O b j e c t K e y > < K e y > C o l u m n s \ D u r a c i � n   d e l   p e r i o d o   d e   t i e m p o   ( e n   m e s e s )   e n   q u e   o f r e c e   a   l o s   u s u a r i o s   f i n a l e s   e l   s e r v i c i o   d e   P a r a m o < / K e y > < / D i a g r a m O b j e c t K e y > < D i a g r a m O b j e c t K e y > < K e y > C o l u m n s \ � I n c l u y e   m a x ? < / K e y > < / D i a g r a m O b j e c t K e y > < D i a g r a m O b j e c t K e y > < K e y > C o l u m n s \ T � r m i n o s   y   c o n d i c i o n e s   d e l   s e r v i c i o * * 8 < / K e y > < / D i a g r a m O b j e c t K e y > < D i a g r a m O b j e c t K e y > < K e y > C o l u m n s \ D u r a c i � n   d e l   p e r i o d o   d e   t i e m p o   ( e n   m e s e s )   e n   q u e   o f r e c e   a   l o s   u s u a r i o s   f i n a l e s   e l   s e r v i c i o   d e   m a x   s i < / K e y > < / D i a g r a m O b j e c t K e y > < D i a g r a m O b j e c t K e y > < K e y > C o l u m n s \ � I n c l u y e   m a x ?   9 < / K e y > < / D i a g r a m O b j e c t K e y > < D i a g r a m O b j e c t K e y > < K e y > C o l u m n s \ T � r m i n o s   y   c o n d i c i o n e s   d e l   s e r v i c i o * * 1 0 < / K e y > < / D i a g r a m O b j e c t K e y > < D i a g r a m O b j e c t K e y > < K e y > C o l u m n s \ D u r a c i � n   d e l   p e r i o d o   d e   t i e m p o   ( e n   m e s e s )   e n   q u e   o f r e c e   a   l o s   u s u a r i o s   f i n a l e s   e l   s e r v i c i o   d e   m a x     2 < / K e y > < / D i a g r a m O b j e c t K e y > < D i a g r a m O b j e c t K e y > < K e y > C o l u m n s \ C a n t i d a d   d e   s e r v i c i o s   a d i c i o n a l e s   i n c l u i d o s < / K e y > < / D i a g r a m O b j e c t K e y > < D i a g r a m O b j e c t K e y > < K e y > C o l u m n s \ N o m b r e   d e   l o s   s e r v i c i o s   a d i c i o n a l e s   i n c l u i d o s   ( p o r   e j e m p l o   (   I d e n t i f i c a d o r   d e   l l a m a d a s ,   D e s v i o   d e   l l < / K e y > < / D i a g r a m O b j e c t K e y > < D i a g r a m O b j e c t K e y > < K e y > C o l u m n s \ T V   a d i c i o n a l   * * * < / K e y > < / D i a g r a m O b j e c t K e y > < D i a g r a m O b j e c t K e y > < K e y > C o l u m n s \ C a r g o   p o r   i n s t a l a c i � n   * * * < / K e y > < / D i a g r a m O b j e c t K e y > < D i a g r a m O b j e c t K e y > < K e y > C o l u m n s \ E q u i p o   t e r m i n a l   ( M � d e m / O N T ) * * * < / K e y > < / D i a g r a m O b j e c t K e y > < D i a g r a m O b j e c t K e y > < K e y > C o l u m n s \ D e c o d i f i c a d o r   ( d i g i t a l )   * * * < / K e y > < / D i a g r a m O b j e c t K e y > < D i a g r a m O b j e c t K e y > < K e y > C o l u m n s \ X v i e w   +   /   X v i e w   * * * < / K e y > < / D i a g r a m O b j e c t K e y > < D i a g r a m O b j e c t K e y > < K e y > C o l u m n s \ S e r v i c i o   C l o u d     ( C l o u d   1 ,   C l o u d   2 )   * * * < / K e y > < / D i a g r a m O b j e c t K e y > < D i a g r a m O b j e c t K e y > < K e y > C o l u m n s \ M e g a   M � v i l   * * * < / K e y > < / D i a g r a m O b j e c t K e y > < D i a g r a m O b j e c t K e y > < K e y > C o l u m n s \ E x t e n s o r   M e s h   * * * < / K e y > < / D i a g r a m O b j e c t K e y > < D i a g r a m O b j e c t K e y > < K e y > C o l u m n s \ N o r t o n   S e c u r i t y   * * *   N o r t o n   F a m i l y   * * *   N o r t o n   S e c u r e   V P N   * * * < / K e y > < / D i a g r a m O b j e c t K e y > < D i a g r a m O b j e c t K e y > < K e y > C o l u m n s \ F o x   S p o r t   P r e m i u m   * * * * < / K e y > < / D i a g r a m O b j e c t K e y > < D i a g r a m O b j e c t K e y > < K e y > C o l u m n s \ N B A   L e a g u e   P a s s   * * * * < / K e y > < / D i a g r a m O b j e c t K e y > < D i a g r a m O b j e c t K e y > < K e y > C o l u m n s \ M B L   * * * * < / K e y > < / D i a g r a m O b j e c t K e y > < D i a g r a m O b j e c t K e y > < K e y > C o l u m n s \ O t r o s   I n c l u y a   l a s   c o l u m n a s   q u e   s e a n   n e c e s a r i a s 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 C o l u m n s \ N o m b r e   d e   P l a n / P a q u e t e < / K e y > < / a : K e y > < a : V a l u e   i : t y p e = " M e a s u r e G r i d N o d e V i e w S t a t e " > < L a y e d O u t > t r u e < / L a y e d O u t > < / a : V a l u e > < / a : K e y V a l u e O f D i a g r a m O b j e c t K e y a n y T y p e z b w N T n L X > < a : K e y V a l u e O f D i a g r a m O b j e c t K e y a n y T y p e z b w N T n L X > < a : K e y > < K e y > C o l u m n s \ T i p o * < / K e y > < / a : K e y > < a : V a l u e   i : t y p e = " M e a s u r e G r i d N o d e V i e w S t a t e " > < C o l u m n > 1 < / C o l u m n > < L a y e d O u t > t r u e < / L a y e d O u t > < / a : V a l u e > < / a : K e y V a l u e O f D i a g r a m O b j e c t K e y a n y T y p e z b w N T n L X > < a : K e y V a l u e O f D i a g r a m O b j e c t K e y a n y T y p e z b w N T n L X > < a : K e y > < K e y > C o l u m n s \ T i p o   d e   p a q u e t e   c o n s i d e r a n d o   S T A R   ( s e r v i c i o s   i n c l u i d o s ) * < / K e y > < / a : K e y > < a : V a l u e   i : t y p e = " M e a s u r e G r i d N o d e V i e w S t a t e " > < C o l u m n > 2 < / C o l u m n > < L a y e d O u t > t r u e < / L a y e d O u t > < / a : V a l u e > < / a : K e y V a l u e O f D i a g r a m O b j e c t K e y a n y T y p e z b w N T n L X > < a : K e y V a l u e O f D i a g r a m O b j e c t K e y a n y T y p e z b w N T n L X > < a : K e y > < K e y > C o l u m n s \ E s t a d o < / K e y > < / a : K e y > < a : V a l u e   i : t y p e = " M e a s u r e G r i d N o d e V i e w S t a t e " > < C o l u m n > 3 < / C o l u m n > < L a y e d O u t > t r u e < / L a y e d O u t > < / a : V a l u e > < / a : K e y V a l u e O f D i a g r a m O b j e c t K e y a n y T y p e z b w N T n L X > < a : K e y V a l u e O f D i a g r a m O b j e c t K e y a n y T y p e z b w N T n L X > < a : K e y > < K e y > C o l u m n s \ M u n i c i p i o < / K e y > < / a : K e y > < a : V a l u e   i : t y p e = " M e a s u r e G r i d N o d e V i e w S t a t e " > < C o l u m n > 4 < / C o l u m n > < L a y e d O u t > t r u e < / L a y e d O u t > < / a : V a l u e > < / a : K e y V a l u e O f D i a g r a m O b j e c t K e y a n y T y p e z b w N T n L X > < a : K e y V a l u e O f D i a g r a m O b j e c t K e y a n y T y p e z b w N T n L X > < a : K e y > < K e y > C o l u m n s \ L o c a l i d a d < / K e y > < / a : K e y > < a : V a l u e   i : t y p e = " M e a s u r e G r i d N o d e V i e w S t a t e " > < C o l u m n > 5 < / C o l u m n > < L a y e d O u t > t r u e < / L a y e d O u t > < / a : V a l u e > < / a : K e y V a l u e O f D i a g r a m O b j e c t K e y a n y T y p e z b w N T n L X > < a : K e y V a l u e O f D i a g r a m O b j e c t K e y a n y T y p e z b w N T n L X > < a : K e y > < K e y > C o l u m n s \ F o l i o   R P C < / K e y > < / a : K e y > < a : V a l u e   i : t y p e = " M e a s u r e G r i d N o d e V i e w S t a t e " > < C o l u m n > 6 < / C o l u m n > < L a y e d O u t > t r u e < / L a y e d O u t > < / a : V a l u e > < / a : K e y V a l u e O f D i a g r a m O b j e c t K e y a n y T y p e z b w N T n L X > < a : K e y V a l u e O f D i a g r a m O b j e c t K e y a n y T y p e z b w N T n L X > < a : K e y > < K e y > C o l u m n s \ R e n t a   m e n s u a l     ( s i n   i m p u e s t o s ) < / K e y > < / a : K e y > < a : V a l u e   i : t y p e = " M e a s u r e G r i d N o d e V i e w S t a t e " > < C o l u m n > 7 < / C o l u m n > < L a y e d O u t > t r u e < / L a y e d O u t > < / a : V a l u e > < / a : K e y V a l u e O f D i a g r a m O b j e c t K e y a n y T y p e z b w N T n L X > < a : K e y V a l u e O f D i a g r a m O b j e c t K e y a n y T y p e z b w N T n L X > < a : K e y > < K e y > C o l u m n s \ R e n t a   m e n s u a l     ( c o n   i m p u e s t o s ) < / K e y > < / a : K e y > < a : V a l u e   i : t y p e = " M e a s u r e G r i d N o d e V i e w S t a t e " > < C o l u m n > 8 < / C o l u m n > < L a y e d O u t > t r u e < / L a y e d O u t > < / a : V a l u e > < / a : K e y V a l u e O f D i a g r a m O b j e c t K e y a n y T y p e z b w N T n L X > < a : K e y V a l u e O f D i a g r a m O b j e c t K e y a n y T y p e z b w N T n L X > < a : K e y > < K e y > C o l u m n s \ C a n t i d a d   d e   T V   i n c l u i d a s < / K e y > < / a : K e y > < a : V a l u e   i : t y p e = " M e a s u r e G r i d N o d e V i e w S t a t e " > < C o l u m n > 9 < / C o l u m n > < L a y e d O u t > t r u e < / L a y e d O u t > < / a : V a l u e > < / a : K e y V a l u e O f D i a g r a m O b j e c t K e y a n y T y p e z b w N T n L X > < a : K e y V a l u e O f D i a g r a m O b j e c t K e y a n y T y p e z b w N T n L X > < a : K e y > < K e y > C o l u m n s \ E n t r e t e n i m i e n t o < / K e y > < / a : K e y > < a : V a l u e   i : t y p e = " M e a s u r e G r i d N o d e V i e w S t a t e " > < C o l u m n > 1 0 < / C o l u m n > < L a y e d O u t > t r u e < / L a y e d O u t > < / a : V a l u e > < / a : K e y V a l u e O f D i a g r a m O b j e c t K e y a n y T y p e z b w N T n L X > < a : K e y V a l u e O f D i a g r a m O b j e c t K e y a n y T y p e z b w N T n L X > < a : K e y > < K e y > C o l u m n s \ M � s i c a < / K e y > < / a : K e y > < a : V a l u e   i : t y p e = " M e a s u r e G r i d N o d e V i e w S t a t e " > < C o l u m n > 1 1 < / C o l u m n > < L a y e d O u t > t r u e < / L a y e d O u t > < / a : V a l u e > < / a : K e y V a l u e O f D i a g r a m O b j e c t K e y a n y T y p e z b w N T n L X > < a : K e y V a l u e O f D i a g r a m O b j e c t K e y a n y T y p e z b w N T n L X > < a : K e y > < K e y > C o l u m n s \ N i � o s / F a m i l i a r < / K e y > < / a : K e y > < a : V a l u e   i : t y p e = " M e a s u r e G r i d N o d e V i e w S t a t e " > < C o l u m n > 1 2 < / C o l u m n > < L a y e d O u t > t r u e < / L a y e d O u t > < / a : V a l u e > < / a : K e y V a l u e O f D i a g r a m O b j e c t K e y a n y T y p e z b w N T n L X > < a : K e y V a l u e O f D i a g r a m O b j e c t K e y a n y T y p e z b w N T n L X > < a : K e y > < K e y > C o l u m n s \ D o c u m e n t a l e s   /   C u l t u r a l e s < / K e y > < / a : K e y > < a : V a l u e   i : t y p e = " M e a s u r e G r i d N o d e V i e w S t a t e " > < C o l u m n > 1 3 < / C o l u m n > < L a y e d O u t > t r u e < / L a y e d O u t > < / a : V a l u e > < / a : K e y V a l u e O f D i a g r a m O b j e c t K e y a n y T y p e z b w N T n L X > < a : K e y V a l u e O f D i a g r a m O b j e c t K e y a n y T y p e z b w N T n L X > < a : K e y > < K e y > C o l u m n s \ N a c i o n a l e s < / K e y > < / a : K e y > < a : V a l u e   i : t y p e = " M e a s u r e G r i d N o d e V i e w S t a t e " > < C o l u m n > 1 4 < / C o l u m n > < L a y e d O u t > t r u e < / L a y e d O u t > < / a : V a l u e > < / a : K e y V a l u e O f D i a g r a m O b j e c t K e y a n y T y p e z b w N T n L X > < a : K e y V a l u e O f D i a g r a m O b j e c t K e y a n y T y p e z b w N T n L X > < a : K e y > < K e y > C o l u m n s \ I n t e r n a c i o n a l e s < / K e y > < / a : K e y > < a : V a l u e   i : t y p e = " M e a s u r e G r i d N o d e V i e w S t a t e " > < C o l u m n > 1 5 < / C o l u m n > < L a y e d O u t > t r u e < / L a y e d O u t > < / a : V a l u e > < / a : K e y V a l u e O f D i a g r a m O b j e c t K e y a n y T y p e z b w N T n L X > < a : K e y V a l u e O f D i a g r a m O b j e c t K e y a n y T y p e z b w N T n L X > < a : K e y > < K e y > C o l u m n s \ D e p o r t e s < / K e y > < / a : K e y > < a : V a l u e   i : t y p e = " M e a s u r e G r i d N o d e V i e w S t a t e " > < C o l u m n > 1 6 < / C o l u m n > < L a y e d O u t > t r u e < / L a y e d O u t > < / a : V a l u e > < / a : K e y V a l u e O f D i a g r a m O b j e c t K e y a n y T y p e z b w N T n L X > < a : K e y V a l u e O f D i a g r a m O b j e c t K e y a n y T y p e z b w N T n L X > < a : K e y > < K e y > C o l u m n s \ P e l � c u l a s < / K e y > < / a : K e y > < a : V a l u e   i : t y p e = " M e a s u r e G r i d N o d e V i e w S t a t e " > < C o l u m n > 1 7 < / C o l u m n > < L a y e d O u t > t r u e < / L a y e d O u t > < / a : V a l u e > < / a : K e y V a l u e O f D i a g r a m O b j e c t K e y a n y T y p e z b w N T n L X > < a : K e y V a l u e O f D i a g r a m O b j e c t K e y a n y T y p e z b w N T n L X > < a : K e y > < K e y > C o l u m n s \ N � m e r o   d e   c a n a l e s   c o n   a l t a   d e f i n i c i � n   ( H D ) < / K e y > < / a : K e y > < a : V a l u e   i : t y p e = " M e a s u r e G r i d N o d e V i e w S t a t e " > < C o l u m n > 1 8 < / C o l u m n > < L a y e d O u t > t r u e < / L a y e d O u t > < / a : V a l u e > < / a : K e y V a l u e O f D i a g r a m O b j e c t K e y a n y T y p e z b w N T n L X > < a : K e y V a l u e O f D i a g r a m O b j e c t K e y a n y T y p e z b w N T n L X > < a : K e y > < K e y > C o l u m n s \ N � m e r o   d e   c a n a l e s   " S o l o   A u d i o " < / K e y > < / a : K e y > < a : V a l u e   i : t y p e = " M e a s u r e G r i d N o d e V i e w S t a t e " > < C o l u m n > 1 9 < / C o l u m n > < L a y e d O u t > t r u e < / L a y e d O u t > < / a : V a l u e > < / a : K e y V a l u e O f D i a g r a m O b j e c t K e y a n y T y p e z b w N T n L X > < a : K e y V a l u e O f D i a g r a m O b j e c t K e y a n y T y p e z b w N T n L X > < a : K e y > < K e y > C o l u m n s \ m a x < / K e y > < / a : K e y > < a : V a l u e   i : t y p e = " M e a s u r e G r i d N o d e V i e w S t a t e " > < C o l u m n > 2 0 < / C o l u m n > < L a y e d O u t > t r u e < / L a y e d O u t > < / a : V a l u e > < / a : K e y V a l u e O f D i a g r a m O b j e c t K e y a n y T y p e z b w N T n L X > < a : K e y V a l u e O f D i a g r a m O b j e c t K e y a n y T y p e z b w N T n L X > < a : K e y > < K e y > C o l u m n s \ p a r a m o u n t   + < / K e y > < / a : K e y > < a : V a l u e   i : t y p e = " M e a s u r e G r i d N o d e V i e w S t a t e " > < C o l u m n > 2 1 < / C o l u m n > < L a y e d O u t > t r u e < / L a y e d O u t > < / a : V a l u e > < / a : K e y V a l u e O f D i a g r a m O b j e c t K e y a n y T y p e z b w N T n L X > < a : K e y V a l u e O f D i a g r a m O b j e c t K e y a n y T y p e z b w N T n L X > < a : K e y > < K e y > C o l u m n s \ F o x   S p o r t   P r e m i u m < / K e y > < / a : K e y > < a : V a l u e   i : t y p e = " M e a s u r e G r i d N o d e V i e w S t a t e " > < C o l u m n > 2 2 < / C o l u m n > < L a y e d O u t > t r u e < / L a y e d O u t > < / a : V a l u e > < / a : K e y V a l u e O f D i a g r a m O b j e c t K e y a n y T y p e z b w N T n L X > < a : K e y V a l u e O f D i a g r a m O b j e c t K e y a n y T y p e z b w N T n L X > < a : K e y > < K e y > C o l u m n s \ M L B < / K e y > < / a : K e y > < a : V a l u e   i : t y p e = " M e a s u r e G r i d N o d e V i e w S t a t e " > < C o l u m n > 2 3 < / C o l u m n > < L a y e d O u t > t r u e < / L a y e d O u t > < / a : V a l u e > < / a : K e y V a l u e O f D i a g r a m O b j e c t K e y a n y T y p e z b w N T n L X > < a : K e y V a l u e O f D i a g r a m O b j e c t K e y a n y T y p e z b w N T n L X > < a : K e y > < K e y > C o l u m n s \ N B A   L e a g u e   P a s s < / K e y > < / a : K e y > < a : V a l u e   i : t y p e = " M e a s u r e G r i d N o d e V i e w S t a t e " > < C o l u m n > 2 4 < / C o l u m n > < L a y e d O u t > t r u e < / L a y e d O u t > < / a : V a l u e > < / a : K e y V a l u e O f D i a g r a m O b j e c t K e y a n y T y p e z b w N T n L X > < a : K e y V a l u e O f D i a g r a m O b j e c t K e y a n y T y p e z b w N T n L X > < a : K e y > < K e y > C o l u m n s \ A d u l t   P a c k < / K e y > < / a : K e y > < a : V a l u e   i : t y p e = " M e a s u r e G r i d N o d e V i e w S t a t e " > < C o l u m n > 2 5 < / C o l u m n > < L a y e d O u t > t r u e < / L a y e d O u t > < / a : V a l u e > < / a : K e y V a l u e O f D i a g r a m O b j e c t K e y a n y T y p e z b w N T n L X > < a : K e y V a l u e O f D i a g r a m O b j e c t K e y a n y T y p e z b w N T n L X > < a : K e y > < K e y > C o l u m n s \ o t r o s < / K e y > < / a : K e y > < a : V a l u e   i : t y p e = " M e a s u r e G r i d N o d e V i e w S t a t e " > < C o l u m n > 2 6 < / C o l u m n > < L a y e d O u t > t r u e < / L a y e d O u t > < / a : V a l u e > < / a : K e y V a l u e O f D i a g r a m O b j e c t K e y a n y T y p e z b w N T n L X > < a : K e y V a l u e O f D i a g r a m O b j e c t K e y a n y T y p e z b w N T n L X > < a : K e y > < K e y > C o l u m n s \ C a n t i d a d   d e   l � n e a s   i n c l u i d a s < / K e y > < / a : K e y > < a : V a l u e   i : t y p e = " M e a s u r e G r i d N o d e V i e w S t a t e " > < C o l u m n > 2 7 < / C o l u m n > < L a y e d O u t > t r u e < / L a y e d O u t > < / a : V a l u e > < / a : K e y V a l u e O f D i a g r a m O b j e c t K e y a n y T y p e z b w N T n L X > < a : K e y V a l u e O f D i a g r a m O b j e c t K e y a n y T y p e z b w N T n L X > < a : K e y > < K e y > C o l u m n s \ N a c i o n a l e s 2 < / K e y > < / a : K e y > < a : V a l u e   i : t y p e = " M e a s u r e G r i d N o d e V i e w S t a t e " > < C o l u m n > 2 8 < / C o l u m n > < L a y e d O u t > t r u e < / L a y e d O u t > < / a : V a l u e > < / a : K e y V a l u e O f D i a g r a m O b j e c t K e y a n y T y p e z b w N T n L X > < a : K e y V a l u e O f D i a g r a m O b j e c t K e y a n y T y p e z b w N T n L X > < a : K e y > < K e y > C o l u m n s \ E s t d o s   U n i d o s   y   C a n a d � < / K e y > < / a : K e y > < a : V a l u e   i : t y p e = " M e a s u r e G r i d N o d e V i e w S t a t e " > < C o l u m n > 2 9 < / C o l u m n > < L a y e d O u t > t r u e < / L a y e d O u t > < / a : V a l u e > < / a : K e y V a l u e O f D i a g r a m O b j e c t K e y a n y T y p e z b w N T n L X > < a : K e y V a l u e O f D i a g r a m O b j e c t K e y a n y T y p e z b w N T n L X > < a : K e y > < K e y > C o l u m n s \ N a c i o n a l e s 3 < / K e y > < / a : K e y > < a : V a l u e   i : t y p e = " M e a s u r e G r i d N o d e V i e w S t a t e " > < C o l u m n > 3 0 < / C o l u m n > < L a y e d O u t > t r u e < / L a y e d O u t > < / a : V a l u e > < / a : K e y V a l u e O f D i a g r a m O b j e c t K e y a n y T y p e z b w N T n L X > < a : K e y V a l u e O f D i a g r a m O b j e c t K e y a n y T y p e z b w N T n L X > < a : K e y > < K e y > C o l u m n s \ E s t d o s   U n i d o s   y   C a n a d � 4 < / K e y > < / a : K e y > < a : V a l u e   i : t y p e = " M e a s u r e G r i d N o d e V i e w S t a t e " > < C o l u m n > 3 1 < / C o l u m n > < L a y e d O u t > t r u e < / L a y e d O u t > < / a : V a l u e > < / a : K e y V a l u e O f D i a g r a m O b j e c t K e y a n y T y p e z b w N T n L X > < a : K e y V a l u e O f D i a g r a m O b j e c t K e y a n y T y p e z b w N T n L X > < a : K e y > < K e y > C o l u m n s \ V e l o c i d a d   d e   b a j a d a   o f e r t a d a   ( M b p s ) < / K e y > < / a : K e y > < a : V a l u e   i : t y p e = " M e a s u r e G r i d N o d e V i e w S t a t e " > < C o l u m n > 3 2 < / C o l u m n > < L a y e d O u t > t r u e < / L a y e d O u t > < / a : V a l u e > < / a : K e y V a l u e O f D i a g r a m O b j e c t K e y a n y T y p e z b w N T n L X > < a : K e y V a l u e O f D i a g r a m O b j e c t K e y a n y T y p e z b w N T n L X > < a : K e y > < K e y > C o l u m n s \ V e l o c i d a d   d e   s u b i d a   o f e r t a d a   ( M b p s ) < / K e y > < / a : K e y > < a : V a l u e   i : t y p e = " M e a s u r e G r i d N o d e V i e w S t a t e " > < C o l u m n > 3 3 < / C o l u m n > < L a y e d O u t > t r u e < / L a y e d O u t > < / a : V a l u e > < / a : K e y V a l u e O f D i a g r a m O b j e c t K e y a n y T y p e z b w N T n L X > < a : K e y V a l u e O f D i a g r a m O b j e c t K e y a n y T y p e z b w N T n L X > < a : K e y > < K e y > C o l u m n s \ � C u e n t a   c o n   p r o m o c i o n e s   q u e   i n c r e m e n t e n   s u   v e l o c i d a d   a   p a r t i r   d e l   p a g o   d e   l a   m i s m a   r e n t a   m e n s u a l ?   ( S < / K e y > < / a : K e y > < a : V a l u e   i : t y p e = " M e a s u r e G r i d N o d e V i e w S t a t e " > < C o l u m n > 3 4 < / C o l u m n > < L a y e d O u t > t r u e < / L a y e d O u t > < / a : V a l u e > < / a : K e y V a l u e O f D i a g r a m O b j e c t K e y a n y T y p e z b w N T n L X > < a : K e y V a l u e O f D i a g r a m O b j e c t K e y a n y T y p e z b w N T n L X > < a : K e y > < K e y > C o l u m n s \ D u r a c i � n   d e l   p e r i o d o   d e   t i e m p o   ( e n   m e s e s )   e n   q u e   o f r e c e   l a   p r o m o c i � n   d e   i n c r e m e n t o   d e   v e l o c i d a d < / K e y > < / a : K e y > < a : V a l u e   i : t y p e = " M e a s u r e G r i d N o d e V i e w S t a t e " > < C o l u m n > 3 5 < / C o l u m n > < L a y e d O u t > t r u e < / L a y e d O u t > < / a : V a l u e > < / a : K e y V a l u e O f D i a g r a m O b j e c t K e y a n y T y p e z b w N T n L X > < a : K e y V a l u e O f D i a g r a m O b j e c t K e y a n y T y p e z b w N T n L X > < a : K e y > < K e y > C o l u m n s \ V e l o c i d a d   d e   s u b i d a   o f e r t a d a   ( M b p s )   c o n   l a   p r o m o c i � n   d e   a u m e n t o   d e   v e l o c i d a d < / K e y > < / a : K e y > < a : V a l u e   i : t y p e = " M e a s u r e G r i d N o d e V i e w S t a t e " > < C o l u m n > 3 6 < / C o l u m n > < L a y e d O u t > t r u e < / L a y e d O u t > < / a : V a l u e > < / a : K e y V a l u e O f D i a g r a m O b j e c t K e y a n y T y p e z b w N T n L X > < a : K e y V a l u e O f D i a g r a m O b j e c t K e y a n y T y p e z b w N T n L X > < a : K e y > < K e y > C o l u m n s \ V e l o c i d a d   d e   b a j a d a   o f e r t a d a   ( M b p s )   c o n   l a   p r o m o c i � n   d e   a u m e n t o   d e   v e l o c i d a d < / K e y > < / a : K e y > < a : V a l u e   i : t y p e = " M e a s u r e G r i d N o d e V i e w S t a t e " > < C o l u m n > 3 7 < / C o l u m n > < L a y e d O u t > t r u e < / L a y e d O u t > < / a : V a l u e > < / a : K e y V a l u e O f D i a g r a m O b j e c t K e y a n y T y p e z b w N T n L X > < a : K e y V a l u e O f D i a g r a m O b j e c t K e y a n y T y p e z b w N T n L X > < a : K e y > < K e y > C o l u m n s \ V e l o c i d a d   d e   s u b i d a   o f e r t a d a   ( M b p s )   c o n   l a   p r o m o c i � n   d e   a u m e n t o   d e   v e l o c i d a d 5 < / K e y > < / a : K e y > < a : V a l u e   i : t y p e = " M e a s u r e G r i d N o d e V i e w S t a t e " > < C o l u m n > 3 8 < / C o l u m n > < L a y e d O u t > t r u e < / L a y e d O u t > < / a : V a l u e > < / a : K e y V a l u e O f D i a g r a m O b j e c t K e y a n y T y p e z b w N T n L X > < a : K e y V a l u e O f D i a g r a m O b j e c t K e y a n y T y p e z b w N T n L X > < a : K e y > < K e y > C o l u m n s \ V e l o c i d a d   d e   b a j a d a   o f e r t a d a   ( M b p s )   c o n   l a   p r o m o c i � n   d e   a u m e n t o   d e   v e l o c i d a d 6 < / K e y > < / a : K e y > < a : V a l u e   i : t y p e = " M e a s u r e G r i d N o d e V i e w S t a t e " > < C o l u m n > 3 9 < / C o l u m n > < L a y e d O u t > t r u e < / L a y e d O u t > < / a : V a l u e > < / a : K e y V a l u e O f D i a g r a m O b j e c t K e y a n y T y p e z b w N T n L X > < a : K e y V a l u e O f D i a g r a m O b j e c t K e y a n y T y p e z b w N T n L X > < a : K e y > < K e y > C o l u m n s \ V e l o c i d a d   d e   s u b i d a   o f e r t a d a   ( M b p s )   c o n   l a   p r o m o c i � n   d e   a u m e n t o   d e   v e l o c i d a d 7 < / K e y > < / a : K e y > < a : V a l u e   i : t y p e = " M e a s u r e G r i d N o d e V i e w S t a t e " > < C o l u m n > 4 0 < / C o l u m n > < L a y e d O u t > t r u e < / L a y e d O u t > < / a : V a l u e > < / a : K e y V a l u e O f D i a g r a m O b j e c t K e y a n y T y p e z b w N T n L X > < a : K e y V a l u e O f D i a g r a m O b j e c t K e y a n y T y p e z b w N T n L X > < a : K e y > < K e y > C o l u m n s \ � C u e n t a   c o n   p r o m o c i o n e s   q u e   v u e l v a n   s u   v e l o c i d a d   s i m � t r i c a   p a r t i r   d e l   p a g o   d e   l a   m i s m a   r e n t a   m e n s u a l < / K e y > < / a : K e y > < a : V a l u e   i : t y p e = " M e a s u r e G r i d N o d e V i e w S t a t e " > < C o l u m n > 4 1 < / C o l u m n > < L a y e d O u t > t r u e < / L a y e d O u t > < / a : V a l u e > < / a : K e y V a l u e O f D i a g r a m O b j e c t K e y a n y T y p e z b w N T n L X > < a : K e y V a l u e O f D i a g r a m O b j e c t K e y a n y T y p e z b w N T n L X > < a : K e y > < K e y > C o l u m n s \ D u r a c i � n   d e l   p e r i o d o   d e   t i e m p o   ( e n   m e s e s )   e n   q u e   o f r e c e   l a   p r o m o c i � n   d e   s i m e t r � a   e n   l a   v e l o c i d a d < / K e y > < / a : K e y > < a : V a l u e   i : t y p e = " M e a s u r e G r i d N o d e V i e w S t a t e " > < C o l u m n > 4 2 < / C o l u m n > < L a y e d O u t > t r u e < / L a y e d O u t > < / a : V a l u e > < / a : K e y V a l u e O f D i a g r a m O b j e c t K e y a n y T y p e z b w N T n L X > < a : K e y V a l u e O f D i a g r a m O b j e c t K e y a n y T y p e z b w N T n L X > < a : K e y > < K e y > C o l u m n s \ � I n c l u y e   P a r a m o u n t   + ? < / K e y > < / a : K e y > < a : V a l u e   i : t y p e = " M e a s u r e G r i d N o d e V i e w S t a t e " > < C o l u m n > 4 3 < / C o l u m n > < L a y e d O u t > t r u e < / L a y e d O u t > < / a : V a l u e > < / a : K e y V a l u e O f D i a g r a m O b j e c t K e y a n y T y p e z b w N T n L X > < a : K e y V a l u e O f D i a g r a m O b j e c t K e y a n y T y p e z b w N T n L X > < a : K e y > < K e y > C o l u m n s \ T � r m i n o s   y   c o n d i c i o n e s   d e l   s e r v i c i o * * < / K e y > < / a : K e y > < a : V a l u e   i : t y p e = " M e a s u r e G r i d N o d e V i e w S t a t e " > < C o l u m n > 4 4 < / C o l u m n > < L a y e d O u t > t r u e < / L a y e d O u t > < / a : V a l u e > < / a : K e y V a l u e O f D i a g r a m O b j e c t K e y a n y T y p e z b w N T n L X > < a : K e y V a l u e O f D i a g r a m O b j e c t K e y a n y T y p e z b w N T n L X > < a : K e y > < K e y > C o l u m n s \ D u r a c i � n   d e l   p e r i o d o   d e   t i e m p o   ( e n   m e s e s )   e n   q u e   o f r e c e   a   l o s   u s u a r i o s   f i n a l e s   e l   s e r v i c i o   d e   P a r a m o < / K e y > < / a : K e y > < a : V a l u e   i : t y p e = " M e a s u r e G r i d N o d e V i e w S t a t e " > < C o l u m n > 4 5 < / C o l u m n > < L a y e d O u t > t r u e < / L a y e d O u t > < / a : V a l u e > < / a : K e y V a l u e O f D i a g r a m O b j e c t K e y a n y T y p e z b w N T n L X > < a : K e y V a l u e O f D i a g r a m O b j e c t K e y a n y T y p e z b w N T n L X > < a : K e y > < K e y > C o l u m n s \ � I n c l u y e   m a x ? < / K e y > < / a : K e y > < a : V a l u e   i : t y p e = " M e a s u r e G r i d N o d e V i e w S t a t e " > < C o l u m n > 4 6 < / C o l u m n > < L a y e d O u t > t r u e < / L a y e d O u t > < / a : V a l u e > < / a : K e y V a l u e O f D i a g r a m O b j e c t K e y a n y T y p e z b w N T n L X > < a : K e y V a l u e O f D i a g r a m O b j e c t K e y a n y T y p e z b w N T n L X > < a : K e y > < K e y > C o l u m n s \ T � r m i n o s   y   c o n d i c i o n e s   d e l   s e r v i c i o * * 8 < / K e y > < / a : K e y > < a : V a l u e   i : t y p e = " M e a s u r e G r i d N o d e V i e w S t a t e " > < C o l u m n > 4 7 < / C o l u m n > < L a y e d O u t > t r u e < / L a y e d O u t > < / a : V a l u e > < / a : K e y V a l u e O f D i a g r a m O b j e c t K e y a n y T y p e z b w N T n L X > < a : K e y V a l u e O f D i a g r a m O b j e c t K e y a n y T y p e z b w N T n L X > < a : K e y > < K e y > C o l u m n s \ D u r a c i � n   d e l   p e r i o d o   d e   t i e m p o   ( e n   m e s e s )   e n   q u e   o f r e c e   a   l o s   u s u a r i o s   f i n a l e s   e l   s e r v i c i o   d e   m a x   s i < / K e y > < / a : K e y > < a : V a l u e   i : t y p e = " M e a s u r e G r i d N o d e V i e w S t a t e " > < C o l u m n > 4 8 < / C o l u m n > < L a y e d O u t > t r u e < / L a y e d O u t > < / a : V a l u e > < / a : K e y V a l u e O f D i a g r a m O b j e c t K e y a n y T y p e z b w N T n L X > < a : K e y V a l u e O f D i a g r a m O b j e c t K e y a n y T y p e z b w N T n L X > < a : K e y > < K e y > C o l u m n s \ � I n c l u y e   m a x ?   9 < / K e y > < / a : K e y > < a : V a l u e   i : t y p e = " M e a s u r e G r i d N o d e V i e w S t a t e " > < C o l u m n > 4 9 < / C o l u m n > < L a y e d O u t > t r u e < / L a y e d O u t > < / a : V a l u e > < / a : K e y V a l u e O f D i a g r a m O b j e c t K e y a n y T y p e z b w N T n L X > < a : K e y V a l u e O f D i a g r a m O b j e c t K e y a n y T y p e z b w N T n L X > < a : K e y > < K e y > C o l u m n s \ T � r m i n o s   y   c o n d i c i o n e s   d e l   s e r v i c i o * * 1 0 < / K e y > < / a : K e y > < a : V a l u e   i : t y p e = " M e a s u r e G r i d N o d e V i e w S t a t e " > < C o l u m n > 5 0 < / C o l u m n > < L a y e d O u t > t r u e < / L a y e d O u t > < / a : V a l u e > < / a : K e y V a l u e O f D i a g r a m O b j e c t K e y a n y T y p e z b w N T n L X > < a : K e y V a l u e O f D i a g r a m O b j e c t K e y a n y T y p e z b w N T n L X > < a : K e y > < K e y > C o l u m n s \ D u r a c i � n   d e l   p e r i o d o   d e   t i e m p o   ( e n   m e s e s )   e n   q u e   o f r e c e   a   l o s   u s u a r i o s   f i n a l e s   e l   s e r v i c i o   d e   m a x     2 < / K e y > < / a : K e y > < a : V a l u e   i : t y p e = " M e a s u r e G r i d N o d e V i e w S t a t e " > < C o l u m n > 5 1 < / C o l u m n > < L a y e d O u t > t r u e < / L a y e d O u t > < / a : V a l u e > < / a : K e y V a l u e O f D i a g r a m O b j e c t K e y a n y T y p e z b w N T n L X > < a : K e y V a l u e O f D i a g r a m O b j e c t K e y a n y T y p e z b w N T n L X > < a : K e y > < K e y > C o l u m n s \ C a n t i d a d   d e   s e r v i c i o s   a d i c i o n a l e s   i n c l u i d o s < / K e y > < / a : K e y > < a : V a l u e   i : t y p e = " M e a s u r e G r i d N o d e V i e w S t a t e " > < C o l u m n > 5 2 < / C o l u m n > < L a y e d O u t > t r u e < / L a y e d O u t > < / a : V a l u e > < / a : K e y V a l u e O f D i a g r a m O b j e c t K e y a n y T y p e z b w N T n L X > < a : K e y V a l u e O f D i a g r a m O b j e c t K e y a n y T y p e z b w N T n L X > < a : K e y > < K e y > C o l u m n s \ N o m b r e   d e   l o s   s e r v i c i o s   a d i c i o n a l e s   i n c l u i d o s   ( p o r   e j e m p l o   (   I d e n t i f i c a d o r   d e   l l a m a d a s ,   D e s v i o   d e   l l < / K e y > < / a : K e y > < a : V a l u e   i : t y p e = " M e a s u r e G r i d N o d e V i e w S t a t e " > < C o l u m n > 5 3 < / C o l u m n > < L a y e d O u t > t r u e < / L a y e d O u t > < / a : V a l u e > < / a : K e y V a l u e O f D i a g r a m O b j e c t K e y a n y T y p e z b w N T n L X > < a : K e y V a l u e O f D i a g r a m O b j e c t K e y a n y T y p e z b w N T n L X > < a : K e y > < K e y > C o l u m n s \ T V   a d i c i o n a l   * * * < / K e y > < / a : K e y > < a : V a l u e   i : t y p e = " M e a s u r e G r i d N o d e V i e w S t a t e " > < C o l u m n > 5 4 < / C o l u m n > < L a y e d O u t > t r u e < / L a y e d O u t > < / a : V a l u e > < / a : K e y V a l u e O f D i a g r a m O b j e c t K e y a n y T y p e z b w N T n L X > < a : K e y V a l u e O f D i a g r a m O b j e c t K e y a n y T y p e z b w N T n L X > < a : K e y > < K e y > C o l u m n s \ C a r g o   p o r   i n s t a l a c i � n   * * * < / K e y > < / a : K e y > < a : V a l u e   i : t y p e = " M e a s u r e G r i d N o d e V i e w S t a t e " > < C o l u m n > 5 5 < / C o l u m n > < L a y e d O u t > t r u e < / L a y e d O u t > < / a : V a l u e > < / a : K e y V a l u e O f D i a g r a m O b j e c t K e y a n y T y p e z b w N T n L X > < a : K e y V a l u e O f D i a g r a m O b j e c t K e y a n y T y p e z b w N T n L X > < a : K e y > < K e y > C o l u m n s \ E q u i p o   t e r m i n a l   ( M � d e m / O N T ) * * * < / K e y > < / a : K e y > < a : V a l u e   i : t y p e = " M e a s u r e G r i d N o d e V i e w S t a t e " > < C o l u m n > 5 6 < / C o l u m n > < L a y e d O u t > t r u e < / L a y e d O u t > < / a : V a l u e > < / a : K e y V a l u e O f D i a g r a m O b j e c t K e y a n y T y p e z b w N T n L X > < a : K e y V a l u e O f D i a g r a m O b j e c t K e y a n y T y p e z b w N T n L X > < a : K e y > < K e y > C o l u m n s \ D e c o d i f i c a d o r   ( d i g i t a l )   * * * < / K e y > < / a : K e y > < a : V a l u e   i : t y p e = " M e a s u r e G r i d N o d e V i e w S t a t e " > < C o l u m n > 5 7 < / C o l u m n > < L a y e d O u t > t r u e < / L a y e d O u t > < / a : V a l u e > < / a : K e y V a l u e O f D i a g r a m O b j e c t K e y a n y T y p e z b w N T n L X > < a : K e y V a l u e O f D i a g r a m O b j e c t K e y a n y T y p e z b w N T n L X > < a : K e y > < K e y > C o l u m n s \ X v i e w   +   /   X v i e w   * * * < / K e y > < / a : K e y > < a : V a l u e   i : t y p e = " M e a s u r e G r i d N o d e V i e w S t a t e " > < C o l u m n > 5 8 < / C o l u m n > < L a y e d O u t > t r u e < / L a y e d O u t > < / a : V a l u e > < / a : K e y V a l u e O f D i a g r a m O b j e c t K e y a n y T y p e z b w N T n L X > < a : K e y V a l u e O f D i a g r a m O b j e c t K e y a n y T y p e z b w N T n L X > < a : K e y > < K e y > C o l u m n s \ S e r v i c i o   C l o u d     ( C l o u d   1 ,   C l o u d   2 )   * * * < / K e y > < / a : K e y > < a : V a l u e   i : t y p e = " M e a s u r e G r i d N o d e V i e w S t a t e " > < C o l u m n > 5 9 < / C o l u m n > < L a y e d O u t > t r u e < / L a y e d O u t > < / a : V a l u e > < / a : K e y V a l u e O f D i a g r a m O b j e c t K e y a n y T y p e z b w N T n L X > < a : K e y V a l u e O f D i a g r a m O b j e c t K e y a n y T y p e z b w N T n L X > < a : K e y > < K e y > C o l u m n s \ M e g a   M � v i l   * * * < / K e y > < / a : K e y > < a : V a l u e   i : t y p e = " M e a s u r e G r i d N o d e V i e w S t a t e " > < C o l u m n > 6 0 < / C o l u m n > < L a y e d O u t > t r u e < / L a y e d O u t > < / a : V a l u e > < / a : K e y V a l u e O f D i a g r a m O b j e c t K e y a n y T y p e z b w N T n L X > < a : K e y V a l u e O f D i a g r a m O b j e c t K e y a n y T y p e z b w N T n L X > < a : K e y > < K e y > C o l u m n s \ E x t e n s o r   M e s h   * * * < / K e y > < / a : K e y > < a : V a l u e   i : t y p e = " M e a s u r e G r i d N o d e V i e w S t a t e " > < C o l u m n > 6 1 < / C o l u m n > < L a y e d O u t > t r u e < / L a y e d O u t > < / a : V a l u e > < / a : K e y V a l u e O f D i a g r a m O b j e c t K e y a n y T y p e z b w N T n L X > < a : K e y V a l u e O f D i a g r a m O b j e c t K e y a n y T y p e z b w N T n L X > < a : K e y > < K e y > C o l u m n s \ N o r t o n   S e c u r i t y   * * *   N o r t o n   F a m i l y   * * *   N o r t o n   S e c u r e   V P N   * * * < / K e y > < / a : K e y > < a : V a l u e   i : t y p e = " M e a s u r e G r i d N o d e V i e w S t a t e " > < C o l u m n > 6 2 < / C o l u m n > < L a y e d O u t > t r u e < / L a y e d O u t > < / a : V a l u e > < / a : K e y V a l u e O f D i a g r a m O b j e c t K e y a n y T y p e z b w N T n L X > < a : K e y V a l u e O f D i a g r a m O b j e c t K e y a n y T y p e z b w N T n L X > < a : K e y > < K e y > C o l u m n s \ F o x   S p o r t   P r e m i u m   * * * * < / K e y > < / a : K e y > < a : V a l u e   i : t y p e = " M e a s u r e G r i d N o d e V i e w S t a t e " > < C o l u m n > 6 3 < / C o l u m n > < L a y e d O u t > t r u e < / L a y e d O u t > < / a : V a l u e > < / a : K e y V a l u e O f D i a g r a m O b j e c t K e y a n y T y p e z b w N T n L X > < a : K e y V a l u e O f D i a g r a m O b j e c t K e y a n y T y p e z b w N T n L X > < a : K e y > < K e y > C o l u m n s \ N B A   L e a g u e   P a s s   * * * * < / K e y > < / a : K e y > < a : V a l u e   i : t y p e = " M e a s u r e G r i d N o d e V i e w S t a t e " > < C o l u m n > 6 4 < / C o l u m n > < L a y e d O u t > t r u e < / L a y e d O u t > < / a : V a l u e > < / a : K e y V a l u e O f D i a g r a m O b j e c t K e y a n y T y p e z b w N T n L X > < a : K e y V a l u e O f D i a g r a m O b j e c t K e y a n y T y p e z b w N T n L X > < a : K e y > < K e y > C o l u m n s \ M B L   * * * * < / K e y > < / a : K e y > < a : V a l u e   i : t y p e = " M e a s u r e G r i d N o d e V i e w S t a t e " > < C o l u m n > 6 5 < / C o l u m n > < L a y e d O u t > t r u e < / L a y e d O u t > < / a : V a l u e > < / a : K e y V a l u e O f D i a g r a m O b j e c t K e y a n y T y p e z b w N T n L X > < a : K e y V a l u e O f D i a g r a m O b j e c t K e y a n y T y p e z b w N T n L X > < a : K e y > < K e y > C o l u m n s \ O t r o s   I n c l u y a   l a s   c o l u m n a s   q u e   s e a n   n e c e s a r i a s < / K e y > < / a : K e y > < a : V a l u e   i : t y p e = " M e a s u r e G r i d N o d e V i e w S t a t e " > < C o l u m n > 6 6 < / C o l u m n > < L a y e d O u t > t r u e < / L a y e d O u t > < / a : V a l u e > < / a : K e y V a l u e O f D i a g r a m O b j e c t K e y a n y T y p e z b w N T n L X > < / V i e w S t a t e s > < / D i a g r a m M a n a g e r . S e r i a l i z a b l e D i a g r a m > < D i a g r a m M a n a g e r . S e r i a l i z a b l e D i a g r a m > < A d a p t e r   i : t y p e = " M e a s u r e D i a g r a m S a n d b o x A d a p t e r " > < T a b l e N a m e > T a r i f a s 2 0 2 4 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 T a r i f a s 2 0 2 4 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 C o l u m n s \ N o m b r e   d e   P l a n / P a q u e t e < / K e y > < / D i a g r a m O b j e c t K e y > < D i a g r a m O b j e c t K e y > < K e y > C o l u m n s \ T i p o * < / K e y > < / D i a g r a m O b j e c t K e y > < D i a g r a m O b j e c t K e y > < K e y > C o l u m n s \ T i p o   d e   p a q u e t e   c o n s i d e r a n d o   S T A R   ( s e r v i c i o s   i n c l u i d o s ) * < / K e y > < / D i a g r a m O b j e c t K e y > < D i a g r a m O b j e c t K e y > < K e y > C o l u m n s \ E s q u e m a * < / K e y > < / D i a g r a m O b j e c t K e y > < D i a g r a m O b j e c t K e y > < K e y > C o l u m n s \ P e r i o d o   d e   p a g o < / K e y > < / D i a g r a m O b j e c t K e y > < D i a g r a m O b j e c t K e y > < K e y > C o l u m n s \ E s t a d o < / K e y > < / D i a g r a m O b j e c t K e y > < D i a g r a m O b j e c t K e y > < K e y > C o l u m n s \ M u n i c i p i o < / K e y > < / D i a g r a m O b j e c t K e y > < D i a g r a m O b j e c t K e y > < K e y > C o l u m n s \ L o c a l i d a d < / K e y > < / D i a g r a m O b j e c t K e y > < D i a g r a m O b j e c t K e y > < K e y > C o l u m n s \ F o l i o   R P C < / K e y > < / D i a g r a m O b j e c t K e y > < D i a g r a m O b j e c t K e y > < K e y > C o l u m n s \ R e n t a   m e n s u a l   ( s i n   i m p u e s t o s ) < / K e y > < / D i a g r a m O b j e c t K e y > < D i a g r a m O b j e c t K e y > < K e y > C o l u m n s \ R e n t a   m e n s u a l     ( c o n   i m p u e s t o s ) < / K e y > < / D i a g r a m O b j e c t K e y > < D i a g r a m O b j e c t K e y > < K e y > C o l u m n s \ � T i e n e   p r o m o c i o n e s   a s o c i a d a s   a l   p a q u e t e   q u e   a j u s t e n   l a   t a r i f a   d e   l a   r e n t a   m e n s u a l ?   ( S i / N o ) < / K e y > < / D i a g r a m O b j e c t K e y > < D i a g r a m O b j e c t K e y > < K e y > C o l u m n s \ P r o m o c i � n   d e   " D e s c u e n t o   d e   s u   m e n s u a l i d a d "   p o r   u n   p e r i o d o   e s p e c � f i c o < / K e y > < / D i a g r a m O b j e c t K e y > < D i a g r a m O b j e c t K e y > < K e y > C o l u m n s \ R e n t a   m e n u s u a l   c o n   t a r i f a   p r o m o c i o n a l   ( s i n   i m p u e s t o s ) < / K e y > < / D i a g r a m O b j e c t K e y > < D i a g r a m O b j e c t K e y > < K e y > C o l u m n s \ D u r a c i � n   d e   l a   p r o m o c i � n   ( e n   m e s e s ) < / K e y > < / D i a g r a m O b j e c t K e y > < D i a g r a m O b j e c t K e y > < K e y > C o l u m n s \ T � r m i n o s   y   c o n d i c i o n e s < / K e y > < / D i a g r a m O b j e c t K e y > < D i a g r a m O b j e c t K e y > < K e y > C o l u m n s \ P r o m o c i � n   p o r   " D o m i c i l i a c i � n "   d e   l a   r e n t a   m e n s u a l < / K e y > < / D i a g r a m O b j e c t K e y > < D i a g r a m O b j e c t K e y > < K e y > C o l u m n s \ R e n t a   m e n u s u a l   c o n   t a r i f a   p r o m o c i o n a l   ( s i n   i m p u e s t o s ) 2 < / K e y > < / D i a g r a m O b j e c t K e y > < D i a g r a m O b j e c t K e y > < K e y > C o l u m n s \ D u r a c i � n   d e   l a   p r o m o c i � n   ( e n   m e s e s ) 3 < / K e y > < / D i a g r a m O b j e c t K e y > < D i a g r a m O b j e c t K e y > < K e y > C o l u m n s \ T � r m i n o s   y   c o n d i c i o n e s 4 < / K e y > < / D i a g r a m O b j e c t K e y > < D i a g r a m O b j e c t K e y > < K e y > C o l u m n s \ P r o m o c i � n   p o r   " A n u a l i d a d " < / K e y > < / D i a g r a m O b j e c t K e y > < D i a g r a m O b j e c t K e y > < K e y > C o l u m n s \ R e n t a   m e n u s u a l   c o n   t a r i f a   p r o m o c i o n a l   ( s i n   i m p u e s t o s ) 5 < / K e y > < / D i a g r a m O b j e c t K e y > < D i a g r a m O b j e c t K e y > < K e y > C o l u m n s \ D u r a c i � n   d e   l a   p r o m o c i � n   ( e n   m e s e s ) 6 < / K e y > < / D i a g r a m O b j e c t K e y > < D i a g r a m O b j e c t K e y > < K e y > C o l u m n s \ T � r m i n o s   y   c o n d i c i o n e s 7 < / K e y > < / D i a g r a m O b j e c t K e y > < D i a g r a m O b j e c t K e y > < K e y > C o l u m n s \ P r o m o c i � n   p o r   " C l i e n t e   a c t u a l   d e   T V " < / K e y > < / D i a g r a m O b j e c t K e y > < D i a g r a m O b j e c t K e y > < K e y > C o l u m n s \ R e n t a   m e n u s u a l   c o n   t a r i f a   p r o m o c i o n a l   ( s i n   i m p u e s t o s ) 8 < / K e y > < / D i a g r a m O b j e c t K e y > < D i a g r a m O b j e c t K e y > < K e y > C o l u m n s \ D u r a c i � n   d e   l a   p r o m o c i � n   ( e n   m e s e s ) 9 < / K e y > < / D i a g r a m O b j e c t K e y > < D i a g r a m O b j e c t K e y > < K e y > C o l u m n s \ T � r m i n o s   y   c o n d i c i o n e s 1 0 < / K e y > < / D i a g r a m O b j e c t K e y > < D i a g r a m O b j e c t K e y > < K e y > C o l u m n s \ � C u e n t a   c o n   i n c e n t i v o s   p r o m o c i o n a l e s   p o r   l a   c o n t r a t a c i � n   d e   a l g � n   s e r v i c i o   O T T   q u e   a j u s t e   e l   m o n t o   d < / K e y > < / D i a g r a m O b j e c t K e y > < D i a g r a m O b j e c t K e y > < K e y > C o l u m n s \ T a r i f a   N e t f l i x   E s t � n d a r   c o n   a n u n c i o s   ( s i n   i m p u e s t o s ) < / K e y > < / D i a g r a m O b j e c t K e y > < D i a g r a m O b j e c t K e y > < K e y > C o l u m n s \ R e n t a   m e n u s u a l   p r o m o c i o n a l   p o r   l a   c o n t r a t a c i � n   d e l   N e t f l i x   E s t � n d a r   c o n   a n u n c i o s   ( s i n   i m p u e s t o s ) < / K e y > < / D i a g r a m O b j e c t K e y > < D i a g r a m O b j e c t K e y > < K e y > C o l u m n s \ T � r m i n o s   y   c o n d i c i o n e s 1 1 < / K e y > < / D i a g r a m O b j e c t K e y > < D i a g r a m O b j e c t K e y > < K e y > C o l u m n s \ T a r i f a   N e t f l i x   E s t � n d a r   ( s i n   i m p u e s t o s ) < / K e y > < / D i a g r a m O b j e c t K e y > < D i a g r a m O b j e c t K e y > < K e y > C o l u m n s \ R e n t a   m e n u s u a l   p r o m o c i o n a l   p o r   l a   c o n t r a t a c i � n   d e l   N e t f l i x   E s t � n d a r   ( s i n   i m p u e s t o s ) < / K e y > < / D i a g r a m O b j e c t K e y > < D i a g r a m O b j e c t K e y > < K e y > C o l u m n s \ T � r m i n o s   y   c o n d i c i o n e s 1 2 < / K e y > < / D i a g r a m O b j e c t K e y > < D i a g r a m O b j e c t K e y > < K e y > C o l u m n s \ T a r i f a   N e t f l i x   P r e m i u m   ( s i n   i m p u e s t o s ) < / K e y > < / D i a g r a m O b j e c t K e y > < D i a g r a m O b j e c t K e y > < K e y > C o l u m n s \ R e n t a   m e n u s u a l   p r o m o c i o n a l   p o r   l a   c o n t r a t a c i � n   d e l   N e t f l i x   P r e m i u m   ( s i n   i m p u e s t o s ) < / K e y > < / D i a g r a m O b j e c t K e y > < D i a g r a m O b j e c t K e y > < K e y > C o l u m n s \ T � r m i n o s   y   c o n d i c i o n e s 1 3 < / K e y > < / D i a g r a m O b j e c t K e y > < D i a g r a m O b j e c t K e y > < K e y > C o l u m n s \ T a r i f a   A m a z o n   P r i m e   ( s i n   i m p u e s t o s ) < / K e y > < / D i a g r a m O b j e c t K e y > < D i a g r a m O b j e c t K e y > < K e y > C o l u m n s \ R e n t a   m e n u s u a l   p r o m o c i o n a l   p o r   l a   c o n t r a t a c i � n   P r i m e   V i d e o   ( s i n   i m p u e s t o s ) < / K e y > < / D i a g r a m O b j e c t K e y > < D i a g r a m O b j e c t K e y > < K e y > C o l u m n s \ T � r m i n o s   y   c o n d i c i o n e s 1 4 < / K e y > < / D i a g r a m O b j e c t K e y > < D i a g r a m O b j e c t K e y > < K e y > C o l u m n s \ T a r i f a   m a x     ( s i n   i m p u e s t o s ) < / K e y > < / D i a g r a m O b j e c t K e y > < D i a g r a m O b j e c t K e y > < K e y > C o l u m n s \ R e n t a   m e n u s u a l   p r o m o c i o n a l   p o r   l a   c o n t r a t a c i � n   m a x     ( s i n   i m p u e s t o s ) < / K e y > < / D i a g r a m O b j e c t K e y > < D i a g r a m O b j e c t K e y > < K e y > C o l u m n s \ T � r m i n o s   y   c o n d i c i o n e s 1 5 < / K e y > < / D i a g r a m O b j e c t K e y > < D i a g r a m O b j e c t K e y > < K e y > C o l u m n s \ T a r i f a   P a r a m o u n t   +   ( s i n   i m p u e s t o s ) < / K e y > < / D i a g r a m O b j e c t K e y > < D i a g r a m O b j e c t K e y > < K e y > C o l u m n s \ R e n t a   m e n u s u a l   p r o m o c i o n a l   p o r   l a   c o n t r a t a c i � n   P a r a m o u n t   +   ( s i n   i m p u e s t o s ) < / K e y > < / D i a g r a m O b j e c t K e y > < D i a g r a m O b j e c t K e y > < K e y > C o l u m n s \ T � r m i n o s   y   c o n d i c i o n e s 1 6 < / K e y > < / D i a g r a m O b j e c t K e y > < D i a g r a m O b j e c t K e y > < K e y > C o l u m n s \ T a r i f a   D i s n e y   +     ( s i n   i m p u e s t o s ) < / K e y > < / D i a g r a m O b j e c t K e y > < D i a g r a m O b j e c t K e y > < K e y > C o l u m n s \ R e n t a   m e n u s u a l   p r o m o c i o n a l   p o r   l a   c o n t r a t a c i � n   D i s n e y   +     ( s i n   i m p u e s t o s ) < / K e y > < / D i a g r a m O b j e c t K e y > < D i a g r a m O b j e c t K e y > < K e y > C o l u m n s \ T � r m i n o s   y   c o n d i c i o n e s 1 7 < / K e y > < / D i a g r a m O b j e c t K e y > < D i a g r a m O b j e c t K e y > < K e y > C o l u m n s \ T a r i f a   S t a r   +     ( s i n   i m p u e s t o s ) < / K e y > < / D i a g r a m O b j e c t K e y > < D i a g r a m O b j e c t K e y > < K e y > C o l u m n s \ R e n t a   m e n u s u a l   p r o m o c i o n a l   p o r   l a   c o n t r a t a c i � n   S t a r   +     ( s i n   i m p u e s t o s ) < / K e y > < / D i a g r a m O b j e c t K e y > < D i a g r a m O b j e c t K e y > < K e y > C o l u m n s \ T � r m i n o s   y   c o n d i c i o n e s 1 8 < / K e y > < / D i a g r a m O b j e c t K e y > < D i a g r a m O b j e c t K e y > < K e y > C o l u m n s \ T a r i f a   C o m b o   +   ( s i n   i m p u e s t o s ) < / K e y > < / D i a g r a m O b j e c t K e y > < D i a g r a m O b j e c t K e y > < K e y > C o l u m n s \ R e n t a   m e n u s u a l   p r o m o c i o n a l   p o r   l a   c o n t r a t a c i � n   C o m b o   ( s i n   i m p u e s t o s ) < / K e y > < / D i a g r a m O b j e c t K e y > < D i a g r a m O b j e c t K e y > < K e y > C o l u m n s \ T � r m i n o s   y   c o n d i c i o n e s 1 9 < / K e y > < / D i a g r a m O b j e c t K e y > < D i a g r a m O b j e c t K e y > < K e y > C o l u m n s \ T a r i f a   F o x   S p o r t   P r e m i u m     ( s i n   i m p u e s t o s ) < / K e y > < / D i a g r a m O b j e c t K e y > < D i a g r a m O b j e c t K e y > < K e y > C o l u m n s \ R e n t a   m e n u s u a l   p r o m o c i o n a l   p o r   l a   c o n t r a t a c i � n   F o x   S p o r t   P r e m i u m   ( s i n   i m p u e s t o s ) < / K e y > < / D i a g r a m O b j e c t K e y > < D i a g r a m O b j e c t K e y > < K e y > C o l u m n s \ T � r m i n o s   y   c o n d i c i o n e s 2 0 < / 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 C o l u m n s \ N o m b r e   d e   P l a n / P a q u e t e < / K e y > < / a : K e y > < a : V a l u e   i : t y p e = " M e a s u r e G r i d N o d e V i e w S t a t e " > < L a y e d O u t > t r u e < / L a y e d O u t > < / a : V a l u e > < / a : K e y V a l u e O f D i a g r a m O b j e c t K e y a n y T y p e z b w N T n L X > < a : K e y V a l u e O f D i a g r a m O b j e c t K e y a n y T y p e z b w N T n L X > < a : K e y > < K e y > C o l u m n s \ T i p o * < / K e y > < / a : K e y > < a : V a l u e   i : t y p e = " M e a s u r e G r i d N o d e V i e w S t a t e " > < C o l u m n > 1 < / C o l u m n > < L a y e d O u t > t r u e < / L a y e d O u t > < / a : V a l u e > < / a : K e y V a l u e O f D i a g r a m O b j e c t K e y a n y T y p e z b w N T n L X > < a : K e y V a l u e O f D i a g r a m O b j e c t K e y a n y T y p e z b w N T n L X > < a : K e y > < K e y > C o l u m n s \ T i p o   d e   p a q u e t e   c o n s i d e r a n d o   S T A R   ( s e r v i c i o s   i n c l u i d o s ) * < / K e y > < / a : K e y > < a : V a l u e   i : t y p e = " M e a s u r e G r i d N o d e V i e w S t a t e " > < C o l u m n > 2 < / C o l u m n > < L a y e d O u t > t r u e < / L a y e d O u t > < / a : V a l u e > < / a : K e y V a l u e O f D i a g r a m O b j e c t K e y a n y T y p e z b w N T n L X > < a : K e y V a l u e O f D i a g r a m O b j e c t K e y a n y T y p e z b w N T n L X > < a : K e y > < K e y > C o l u m n s \ E s q u e m a * < / K e y > < / a : K e y > < a : V a l u e   i : t y p e = " M e a s u r e G r i d N o d e V i e w S t a t e " > < C o l u m n > 3 < / C o l u m n > < L a y e d O u t > t r u e < / L a y e d O u t > < / a : V a l u e > < / a : K e y V a l u e O f D i a g r a m O b j e c t K e y a n y T y p e z b w N T n L X > < a : K e y V a l u e O f D i a g r a m O b j e c t K e y a n y T y p e z b w N T n L X > < a : K e y > < K e y > C o l u m n s \ P e r i o d o   d e   p a g o < / 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 C o l u m n s \ M u n i c i p i o < / K e y > < / a : K e y > < a : V a l u e   i : t y p e = " M e a s u r e G r i d N o d e V i e w S t a t e " > < C o l u m n > 6 < / C o l u m n > < L a y e d O u t > t r u e < / L a y e d O u t > < / a : V a l u e > < / a : K e y V a l u e O f D i a g r a m O b j e c t K e y a n y T y p e z b w N T n L X > < a : K e y V a l u e O f D i a g r a m O b j e c t K e y a n y T y p e z b w N T n L X > < a : K e y > < K e y > C o l u m n s \ L o c a l i d a d < / K e y > < / a : K e y > < a : V a l u e   i : t y p e = " M e a s u r e G r i d N o d e V i e w S t a t e " > < C o l u m n > 7 < / C o l u m n > < L a y e d O u t > t r u e < / L a y e d O u t > < / a : V a l u e > < / a : K e y V a l u e O f D i a g r a m O b j e c t K e y a n y T y p e z b w N T n L X > < a : K e y V a l u e O f D i a g r a m O b j e c t K e y a n y T y p e z b w N T n L X > < a : K e y > < K e y > C o l u m n s \ F o l i o   R P C < / K e y > < / a : K e y > < a : V a l u e   i : t y p e = " M e a s u r e G r i d N o d e V i e w S t a t e " > < C o l u m n > 8 < / C o l u m n > < L a y e d O u t > t r u e < / L a y e d O u t > < / a : V a l u e > < / a : K e y V a l u e O f D i a g r a m O b j e c t K e y a n y T y p e z b w N T n L X > < a : K e y V a l u e O f D i a g r a m O b j e c t K e y a n y T y p e z b w N T n L X > < a : K e y > < K e y > C o l u m n s \ R e n t a   m e n s u a l   ( s i n   i m p u e s t o s ) < / K e y > < / a : K e y > < a : V a l u e   i : t y p e = " M e a s u r e G r i d N o d e V i e w S t a t e " > < C o l u m n > 9 < / C o l u m n > < L a y e d O u t > t r u e < / L a y e d O u t > < / a : V a l u e > < / a : K e y V a l u e O f D i a g r a m O b j e c t K e y a n y T y p e z b w N T n L X > < a : K e y V a l u e O f D i a g r a m O b j e c t K e y a n y T y p e z b w N T n L X > < a : K e y > < K e y > C o l u m n s \ R e n t a   m e n s u a l     ( c o n   i m p u e s t o s ) < / K e y > < / a : K e y > < a : V a l u e   i : t y p e = " M e a s u r e G r i d N o d e V i e w S t a t e " > < C o l u m n > 1 0 < / C o l u m n > < L a y e d O u t > t r u e < / L a y e d O u t > < / a : V a l u e > < / a : K e y V a l u e O f D i a g r a m O b j e c t K e y a n y T y p e z b w N T n L X > < a : K e y V a l u e O f D i a g r a m O b j e c t K e y a n y T y p e z b w N T n L X > < a : K e y > < K e y > C o l u m n s \ � T i e n e   p r o m o c i o n e s   a s o c i a d a s   a l   p a q u e t e   q u e   a j u s t e n   l a   t a r i f a   d e   l a   r e n t a   m e n s u a l ?   ( S i / N o ) < / K e y > < / a : K e y > < a : V a l u e   i : t y p e = " M e a s u r e G r i d N o d e V i e w S t a t e " > < C o l u m n > 1 1 < / C o l u m n > < L a y e d O u t > t r u e < / L a y e d O u t > < / a : V a l u e > < / a : K e y V a l u e O f D i a g r a m O b j e c t K e y a n y T y p e z b w N T n L X > < a : K e y V a l u e O f D i a g r a m O b j e c t K e y a n y T y p e z b w N T n L X > < a : K e y > < K e y > C o l u m n s \ P r o m o c i � n   d e   " D e s c u e n t o   d e   s u   m e n s u a l i d a d "   p o r   u n   p e r i o d o   e s p e c � f i c o < / K e y > < / a : K e y > < a : V a l u e   i : t y p e = " M e a s u r e G r i d N o d e V i e w S t a t e " > < C o l u m n > 1 2 < / C o l u m n > < L a y e d O u t > t r u e < / L a y e d O u t > < / a : V a l u e > < / a : K e y V a l u e O f D i a g r a m O b j e c t K e y a n y T y p e z b w N T n L X > < a : K e y V a l u e O f D i a g r a m O b j e c t K e y a n y T y p e z b w N T n L X > < a : K e y > < K e y > C o l u m n s \ R e n t a   m e n u s u a l   c o n   t a r i f a   p r o m o c i o n a l   ( s i n   i m p u e s t o s ) < / K e y > < / a : K e y > < a : V a l u e   i : t y p e = " M e a s u r e G r i d N o d e V i e w S t a t e " > < C o l u m n > 1 3 < / C o l u m n > < L a y e d O u t > t r u e < / L a y e d O u t > < / a : V a l u e > < / a : K e y V a l u e O f D i a g r a m O b j e c t K e y a n y T y p e z b w N T n L X > < a : K e y V a l u e O f D i a g r a m O b j e c t K e y a n y T y p e z b w N T n L X > < a : K e y > < K e y > C o l u m n s \ D u r a c i � n   d e   l a   p r o m o c i � n   ( e n   m e s e s ) < / K e y > < / a : K e y > < a : V a l u e   i : t y p e = " M e a s u r e G r i d N o d e V i e w S t a t e " > < C o l u m n > 1 4 < / C o l u m n > < L a y e d O u t > t r u e < / L a y e d O u t > < / a : V a l u e > < / a : K e y V a l u e O f D i a g r a m O b j e c t K e y a n y T y p e z b w N T n L X > < a : K e y V a l u e O f D i a g r a m O b j e c t K e y a n y T y p e z b w N T n L X > < a : K e y > < K e y > C o l u m n s \ T � r m i n o s   y   c o n d i c i o n e s < / K e y > < / a : K e y > < a : V a l u e   i : t y p e = " M e a s u r e G r i d N o d e V i e w S t a t e " > < C o l u m n > 1 5 < / C o l u m n > < L a y e d O u t > t r u e < / L a y e d O u t > < / a : V a l u e > < / a : K e y V a l u e O f D i a g r a m O b j e c t K e y a n y T y p e z b w N T n L X > < a : K e y V a l u e O f D i a g r a m O b j e c t K e y a n y T y p e z b w N T n L X > < a : K e y > < K e y > C o l u m n s \ P r o m o c i � n   p o r   " D o m i c i l i a c i � n "   d e   l a   r e n t a   m e n s u a l < / K e y > < / a : K e y > < a : V a l u e   i : t y p e = " M e a s u r e G r i d N o d e V i e w S t a t e " > < C o l u m n > 1 6 < / C o l u m n > < L a y e d O u t > t r u e < / L a y e d O u t > < / a : V a l u e > < / a : K e y V a l u e O f D i a g r a m O b j e c t K e y a n y T y p e z b w N T n L X > < a : K e y V a l u e O f D i a g r a m O b j e c t K e y a n y T y p e z b w N T n L X > < a : K e y > < K e y > C o l u m n s \ R e n t a   m e n u s u a l   c o n   t a r i f a   p r o m o c i o n a l   ( s i n   i m p u e s t o s ) 2 < / K e y > < / a : K e y > < a : V a l u e   i : t y p e = " M e a s u r e G r i d N o d e V i e w S t a t e " > < C o l u m n > 1 7 < / C o l u m n > < L a y e d O u t > t r u e < / L a y e d O u t > < / a : V a l u e > < / a : K e y V a l u e O f D i a g r a m O b j e c t K e y a n y T y p e z b w N T n L X > < a : K e y V a l u e O f D i a g r a m O b j e c t K e y a n y T y p e z b w N T n L X > < a : K e y > < K e y > C o l u m n s \ D u r a c i � n   d e   l a   p r o m o c i � n   ( e n   m e s e s ) 3 < / K e y > < / a : K e y > < a : V a l u e   i : t y p e = " M e a s u r e G r i d N o d e V i e w S t a t e " > < C o l u m n > 1 8 < / C o l u m n > < L a y e d O u t > t r u e < / L a y e d O u t > < / a : V a l u e > < / a : K e y V a l u e O f D i a g r a m O b j e c t K e y a n y T y p e z b w N T n L X > < a : K e y V a l u e O f D i a g r a m O b j e c t K e y a n y T y p e z b w N T n L X > < a : K e y > < K e y > C o l u m n s \ T � r m i n o s   y   c o n d i c i o n e s 4 < / K e y > < / a : K e y > < a : V a l u e   i : t y p e = " M e a s u r e G r i d N o d e V i e w S t a t e " > < C o l u m n > 1 9 < / C o l u m n > < L a y e d O u t > t r u e < / L a y e d O u t > < / a : V a l u e > < / a : K e y V a l u e O f D i a g r a m O b j e c t K e y a n y T y p e z b w N T n L X > < a : K e y V a l u e O f D i a g r a m O b j e c t K e y a n y T y p e z b w N T n L X > < a : K e y > < K e y > C o l u m n s \ P r o m o c i � n   p o r   " A n u a l i d a d " < / K e y > < / a : K e y > < a : V a l u e   i : t y p e = " M e a s u r e G r i d N o d e V i e w S t a t e " > < C o l u m n > 2 0 < / C o l u m n > < L a y e d O u t > t r u e < / L a y e d O u t > < / a : V a l u e > < / a : K e y V a l u e O f D i a g r a m O b j e c t K e y a n y T y p e z b w N T n L X > < a : K e y V a l u e O f D i a g r a m O b j e c t K e y a n y T y p e z b w N T n L X > < a : K e y > < K e y > C o l u m n s \ R e n t a   m e n u s u a l   c o n   t a r i f a   p r o m o c i o n a l   ( s i n   i m p u e s t o s ) 5 < / K e y > < / a : K e y > < a : V a l u e   i : t y p e = " M e a s u r e G r i d N o d e V i e w S t a t e " > < C o l u m n > 2 1 < / C o l u m n > < L a y e d O u t > t r u e < / L a y e d O u t > < / a : V a l u e > < / a : K e y V a l u e O f D i a g r a m O b j e c t K e y a n y T y p e z b w N T n L X > < a : K e y V a l u e O f D i a g r a m O b j e c t K e y a n y T y p e z b w N T n L X > < a : K e y > < K e y > C o l u m n s \ D u r a c i � n   d e   l a   p r o m o c i � n   ( e n   m e s e s ) 6 < / K e y > < / a : K e y > < a : V a l u e   i : t y p e = " M e a s u r e G r i d N o d e V i e w S t a t e " > < C o l u m n > 2 2 < / C o l u m n > < L a y e d O u t > t r u e < / L a y e d O u t > < / a : V a l u e > < / a : K e y V a l u e O f D i a g r a m O b j e c t K e y a n y T y p e z b w N T n L X > < a : K e y V a l u e O f D i a g r a m O b j e c t K e y a n y T y p e z b w N T n L X > < a : K e y > < K e y > C o l u m n s \ T � r m i n o s   y   c o n d i c i o n e s 7 < / K e y > < / a : K e y > < a : V a l u e   i : t y p e = " M e a s u r e G r i d N o d e V i e w S t a t e " > < C o l u m n > 2 3 < / C o l u m n > < L a y e d O u t > t r u e < / L a y e d O u t > < / a : V a l u e > < / a : K e y V a l u e O f D i a g r a m O b j e c t K e y a n y T y p e z b w N T n L X > < a : K e y V a l u e O f D i a g r a m O b j e c t K e y a n y T y p e z b w N T n L X > < a : K e y > < K e y > C o l u m n s \ P r o m o c i � n   p o r   " C l i e n t e   a c t u a l   d e   T V " < / K e y > < / a : K e y > < a : V a l u e   i : t y p e = " M e a s u r e G r i d N o d e V i e w S t a t e " > < C o l u m n > 2 4 < / C o l u m n > < L a y e d O u t > t r u e < / L a y e d O u t > < / a : V a l u e > < / a : K e y V a l u e O f D i a g r a m O b j e c t K e y a n y T y p e z b w N T n L X > < a : K e y V a l u e O f D i a g r a m O b j e c t K e y a n y T y p e z b w N T n L X > < a : K e y > < K e y > C o l u m n s \ R e n t a   m e n u s u a l   c o n   t a r i f a   p r o m o c i o n a l   ( s i n   i m p u e s t o s ) 8 < / K e y > < / a : K e y > < a : V a l u e   i : t y p e = " M e a s u r e G r i d N o d e V i e w S t a t e " > < C o l u m n > 2 5 < / C o l u m n > < L a y e d O u t > t r u e < / L a y e d O u t > < / a : V a l u e > < / a : K e y V a l u e O f D i a g r a m O b j e c t K e y a n y T y p e z b w N T n L X > < a : K e y V a l u e O f D i a g r a m O b j e c t K e y a n y T y p e z b w N T n L X > < a : K e y > < K e y > C o l u m n s \ D u r a c i � n   d e   l a   p r o m o c i � n   ( e n   m e s e s ) 9 < / K e y > < / a : K e y > < a : V a l u e   i : t y p e = " M e a s u r e G r i d N o d e V i e w S t a t e " > < C o l u m n > 2 6 < / C o l u m n > < L a y e d O u t > t r u e < / L a y e d O u t > < / a : V a l u e > < / a : K e y V a l u e O f D i a g r a m O b j e c t K e y a n y T y p e z b w N T n L X > < a : K e y V a l u e O f D i a g r a m O b j e c t K e y a n y T y p e z b w N T n L X > < a : K e y > < K e y > C o l u m n s \ T � r m i n o s   y   c o n d i c i o n e s 1 0 < / K e y > < / a : K e y > < a : V a l u e   i : t y p e = " M e a s u r e G r i d N o d e V i e w S t a t e " > < C o l u m n > 2 7 < / C o l u m n > < L a y e d O u t > t r u e < / L a y e d O u t > < / a : V a l u e > < / a : K e y V a l u e O f D i a g r a m O b j e c t K e y a n y T y p e z b w N T n L X > < a : K e y V a l u e O f D i a g r a m O b j e c t K e y a n y T y p e z b w N T n L X > < a : K e y > < K e y > C o l u m n s \ � C u e n t a   c o n   i n c e n t i v o s   p r o m o c i o n a l e s   p o r   l a   c o n t r a t a c i � n   d e   a l g � n   s e r v i c i o   O T T   q u e   a j u s t e   e l   m o n t o   d < / K e y > < / a : K e y > < a : V a l u e   i : t y p e = " M e a s u r e G r i d N o d e V i e w S t a t e " > < C o l u m n > 2 8 < / C o l u m n > < L a y e d O u t > t r u e < / L a y e d O u t > < / a : V a l u e > < / a : K e y V a l u e O f D i a g r a m O b j e c t K e y a n y T y p e z b w N T n L X > < a : K e y V a l u e O f D i a g r a m O b j e c t K e y a n y T y p e z b w N T n L X > < a : K e y > < K e y > C o l u m n s \ T a r i f a   N e t f l i x   E s t � n d a r   c o n   a n u n c i o s   ( s i n   i m p u e s t o s ) < / K e y > < / a : K e y > < a : V a l u e   i : t y p e = " M e a s u r e G r i d N o d e V i e w S t a t e " > < C o l u m n > 2 9 < / C o l u m n > < L a y e d O u t > t r u e < / L a y e d O u t > < / a : V a l u e > < / a : K e y V a l u e O f D i a g r a m O b j e c t K e y a n y T y p e z b w N T n L X > < a : K e y V a l u e O f D i a g r a m O b j e c t K e y a n y T y p e z b w N T n L X > < a : K e y > < K e y > C o l u m n s \ R e n t a   m e n u s u a l   p r o m o c i o n a l   p o r   l a   c o n t r a t a c i � n   d e l   N e t f l i x   E s t � n d a r   c o n   a n u n c i o s   ( s i n   i m p u e s t o s ) < / K e y > < / a : K e y > < a : V a l u e   i : t y p e = " M e a s u r e G r i d N o d e V i e w S t a t e " > < C o l u m n > 3 0 < / C o l u m n > < L a y e d O u t > t r u e < / L a y e d O u t > < / a : V a l u e > < / a : K e y V a l u e O f D i a g r a m O b j e c t K e y a n y T y p e z b w N T n L X > < a : K e y V a l u e O f D i a g r a m O b j e c t K e y a n y T y p e z b w N T n L X > < a : K e y > < K e y > C o l u m n s \ T � r m i n o s   y   c o n d i c i o n e s 1 1 < / K e y > < / a : K e y > < a : V a l u e   i : t y p e = " M e a s u r e G r i d N o d e V i e w S t a t e " > < C o l u m n > 3 1 < / C o l u m n > < L a y e d O u t > t r u e < / L a y e d O u t > < / a : V a l u e > < / a : K e y V a l u e O f D i a g r a m O b j e c t K e y a n y T y p e z b w N T n L X > < a : K e y V a l u e O f D i a g r a m O b j e c t K e y a n y T y p e z b w N T n L X > < a : K e y > < K e y > C o l u m n s \ T a r i f a   N e t f l i x   E s t � n d a r   ( s i n   i m p u e s t o s ) < / K e y > < / a : K e y > < a : V a l u e   i : t y p e = " M e a s u r e G r i d N o d e V i e w S t a t e " > < C o l u m n > 3 2 < / C o l u m n > < L a y e d O u t > t r u e < / L a y e d O u t > < / a : V a l u e > < / a : K e y V a l u e O f D i a g r a m O b j e c t K e y a n y T y p e z b w N T n L X > < a : K e y V a l u e O f D i a g r a m O b j e c t K e y a n y T y p e z b w N T n L X > < a : K e y > < K e y > C o l u m n s \ R e n t a   m e n u s u a l   p r o m o c i o n a l   p o r   l a   c o n t r a t a c i � n   d e l   N e t f l i x   E s t � n d a r   ( s i n   i m p u e s t o s ) < / K e y > < / a : K e y > < a : V a l u e   i : t y p e = " M e a s u r e G r i d N o d e V i e w S t a t e " > < C o l u m n > 3 3 < / C o l u m n > < L a y e d O u t > t r u e < / L a y e d O u t > < / a : V a l u e > < / a : K e y V a l u e O f D i a g r a m O b j e c t K e y a n y T y p e z b w N T n L X > < a : K e y V a l u e O f D i a g r a m O b j e c t K e y a n y T y p e z b w N T n L X > < a : K e y > < K e y > C o l u m n s \ T � r m i n o s   y   c o n d i c i o n e s 1 2 < / K e y > < / a : K e y > < a : V a l u e   i : t y p e = " M e a s u r e G r i d N o d e V i e w S t a t e " > < C o l u m n > 3 4 < / C o l u m n > < L a y e d O u t > t r u e < / L a y e d O u t > < / a : V a l u e > < / a : K e y V a l u e O f D i a g r a m O b j e c t K e y a n y T y p e z b w N T n L X > < a : K e y V a l u e O f D i a g r a m O b j e c t K e y a n y T y p e z b w N T n L X > < a : K e y > < K e y > C o l u m n s \ T a r i f a   N e t f l i x   P r e m i u m   ( s i n   i m p u e s t o s ) < / K e y > < / a : K e y > < a : V a l u e   i : t y p e = " M e a s u r e G r i d N o d e V i e w S t a t e " > < C o l u m n > 3 5 < / C o l u m n > < L a y e d O u t > t r u e < / L a y e d O u t > < / a : V a l u e > < / a : K e y V a l u e O f D i a g r a m O b j e c t K e y a n y T y p e z b w N T n L X > < a : K e y V a l u e O f D i a g r a m O b j e c t K e y a n y T y p e z b w N T n L X > < a : K e y > < K e y > C o l u m n s \ R e n t a   m e n u s u a l   p r o m o c i o n a l   p o r   l a   c o n t r a t a c i � n   d e l   N e t f l i x   P r e m i u m   ( s i n   i m p u e s t o s ) < / K e y > < / a : K e y > < a : V a l u e   i : t y p e = " M e a s u r e G r i d N o d e V i e w S t a t e " > < C o l u m n > 3 6 < / C o l u m n > < L a y e d O u t > t r u e < / L a y e d O u t > < / a : V a l u e > < / a : K e y V a l u e O f D i a g r a m O b j e c t K e y a n y T y p e z b w N T n L X > < a : K e y V a l u e O f D i a g r a m O b j e c t K e y a n y T y p e z b w N T n L X > < a : K e y > < K e y > C o l u m n s \ T � r m i n o s   y   c o n d i c i o n e s 1 3 < / K e y > < / a : K e y > < a : V a l u e   i : t y p e = " M e a s u r e G r i d N o d e V i e w S t a t e " > < C o l u m n > 3 7 < / C o l u m n > < L a y e d O u t > t r u e < / L a y e d O u t > < / a : V a l u e > < / a : K e y V a l u e O f D i a g r a m O b j e c t K e y a n y T y p e z b w N T n L X > < a : K e y V a l u e O f D i a g r a m O b j e c t K e y a n y T y p e z b w N T n L X > < a : K e y > < K e y > C o l u m n s \ T a r i f a   A m a z o n   P r i m e   ( s i n   i m p u e s t o s ) < / K e y > < / a : K e y > < a : V a l u e   i : t y p e = " M e a s u r e G r i d N o d e V i e w S t a t e " > < C o l u m n > 3 8 < / C o l u m n > < L a y e d O u t > t r u e < / L a y e d O u t > < / a : V a l u e > < / a : K e y V a l u e O f D i a g r a m O b j e c t K e y a n y T y p e z b w N T n L X > < a : K e y V a l u e O f D i a g r a m O b j e c t K e y a n y T y p e z b w N T n L X > < a : K e y > < K e y > C o l u m n s \ R e n t a   m e n u s u a l   p r o m o c i o n a l   p o r   l a   c o n t r a t a c i � n   P r i m e   V i d e o   ( s i n   i m p u e s t o s ) < / K e y > < / a : K e y > < a : V a l u e   i : t y p e = " M e a s u r e G r i d N o d e V i e w S t a t e " > < C o l u m n > 3 9 < / C o l u m n > < L a y e d O u t > t r u e < / L a y e d O u t > < / a : V a l u e > < / a : K e y V a l u e O f D i a g r a m O b j e c t K e y a n y T y p e z b w N T n L X > < a : K e y V a l u e O f D i a g r a m O b j e c t K e y a n y T y p e z b w N T n L X > < a : K e y > < K e y > C o l u m n s \ T � r m i n o s   y   c o n d i c i o n e s 1 4 < / K e y > < / a : K e y > < a : V a l u e   i : t y p e = " M e a s u r e G r i d N o d e V i e w S t a t e " > < C o l u m n > 4 0 < / C o l u m n > < L a y e d O u t > t r u e < / L a y e d O u t > < / a : V a l u e > < / a : K e y V a l u e O f D i a g r a m O b j e c t K e y a n y T y p e z b w N T n L X > < a : K e y V a l u e O f D i a g r a m O b j e c t K e y a n y T y p e z b w N T n L X > < a : K e y > < K e y > C o l u m n s \ T a r i f a   m a x     ( s i n   i m p u e s t o s ) < / K e y > < / a : K e y > < a : V a l u e   i : t y p e = " M e a s u r e G r i d N o d e V i e w S t a t e " > < C o l u m n > 4 1 < / C o l u m n > < L a y e d O u t > t r u e < / L a y e d O u t > < / a : V a l u e > < / a : K e y V a l u e O f D i a g r a m O b j e c t K e y a n y T y p e z b w N T n L X > < a : K e y V a l u e O f D i a g r a m O b j e c t K e y a n y T y p e z b w N T n L X > < a : K e y > < K e y > C o l u m n s \ R e n t a   m e n u s u a l   p r o m o c i o n a l   p o r   l a   c o n t r a t a c i � n   m a x     ( s i n   i m p u e s t o s ) < / K e y > < / a : K e y > < a : V a l u e   i : t y p e = " M e a s u r e G r i d N o d e V i e w S t a t e " > < C o l u m n > 4 2 < / C o l u m n > < L a y e d O u t > t r u e < / L a y e d O u t > < / a : V a l u e > < / a : K e y V a l u e O f D i a g r a m O b j e c t K e y a n y T y p e z b w N T n L X > < a : K e y V a l u e O f D i a g r a m O b j e c t K e y a n y T y p e z b w N T n L X > < a : K e y > < K e y > C o l u m n s \ T � r m i n o s   y   c o n d i c i o n e s 1 5 < / K e y > < / a : K e y > < a : V a l u e   i : t y p e = " M e a s u r e G r i d N o d e V i e w S t a t e " > < C o l u m n > 4 3 < / C o l u m n > < L a y e d O u t > t r u e < / L a y e d O u t > < / a : V a l u e > < / a : K e y V a l u e O f D i a g r a m O b j e c t K e y a n y T y p e z b w N T n L X > < a : K e y V a l u e O f D i a g r a m O b j e c t K e y a n y T y p e z b w N T n L X > < a : K e y > < K e y > C o l u m n s \ T a r i f a   P a r a m o u n t   +   ( s i n   i m p u e s t o s ) < / K e y > < / a : K e y > < a : V a l u e   i : t y p e = " M e a s u r e G r i d N o d e V i e w S t a t e " > < C o l u m n > 4 4 < / C o l u m n > < L a y e d O u t > t r u e < / L a y e d O u t > < / a : V a l u e > < / a : K e y V a l u e O f D i a g r a m O b j e c t K e y a n y T y p e z b w N T n L X > < a : K e y V a l u e O f D i a g r a m O b j e c t K e y a n y T y p e z b w N T n L X > < a : K e y > < K e y > C o l u m n s \ R e n t a   m e n u s u a l   p r o m o c i o n a l   p o r   l a   c o n t r a t a c i � n   P a r a m o u n t   +   ( s i n   i m p u e s t o s ) < / K e y > < / a : K e y > < a : V a l u e   i : t y p e = " M e a s u r e G r i d N o d e V i e w S t a t e " > < C o l u m n > 4 5 < / C o l u m n > < L a y e d O u t > t r u e < / L a y e d O u t > < / a : V a l u e > < / a : K e y V a l u e O f D i a g r a m O b j e c t K e y a n y T y p e z b w N T n L X > < a : K e y V a l u e O f D i a g r a m O b j e c t K e y a n y T y p e z b w N T n L X > < a : K e y > < K e y > C o l u m n s \ T � r m i n o s   y   c o n d i c i o n e s 1 6 < / K e y > < / a : K e y > < a : V a l u e   i : t y p e = " M e a s u r e G r i d N o d e V i e w S t a t e " > < C o l u m n > 4 6 < / C o l u m n > < L a y e d O u t > t r u e < / L a y e d O u t > < / a : V a l u e > < / a : K e y V a l u e O f D i a g r a m O b j e c t K e y a n y T y p e z b w N T n L X > < a : K e y V a l u e O f D i a g r a m O b j e c t K e y a n y T y p e z b w N T n L X > < a : K e y > < K e y > C o l u m n s \ T a r i f a   D i s n e y   +     ( s i n   i m p u e s t o s ) < / K e y > < / a : K e y > < a : V a l u e   i : t y p e = " M e a s u r e G r i d N o d e V i e w S t a t e " > < C o l u m n > 4 7 < / C o l u m n > < L a y e d O u t > t r u e < / L a y e d O u t > < / a : V a l u e > < / a : K e y V a l u e O f D i a g r a m O b j e c t K e y a n y T y p e z b w N T n L X > < a : K e y V a l u e O f D i a g r a m O b j e c t K e y a n y T y p e z b w N T n L X > < a : K e y > < K e y > C o l u m n s \ R e n t a   m e n u s u a l   p r o m o c i o n a l   p o r   l a   c o n t r a t a c i � n   D i s n e y   +     ( s i n   i m p u e s t o s ) < / K e y > < / a : K e y > < a : V a l u e   i : t y p e = " M e a s u r e G r i d N o d e V i e w S t a t e " > < C o l u m n > 4 8 < / C o l u m n > < L a y e d O u t > t r u e < / L a y e d O u t > < / a : V a l u e > < / a : K e y V a l u e O f D i a g r a m O b j e c t K e y a n y T y p e z b w N T n L X > < a : K e y V a l u e O f D i a g r a m O b j e c t K e y a n y T y p e z b w N T n L X > < a : K e y > < K e y > C o l u m n s \ T � r m i n o s   y   c o n d i c i o n e s 1 7 < / K e y > < / a : K e y > < a : V a l u e   i : t y p e = " M e a s u r e G r i d N o d e V i e w S t a t e " > < C o l u m n > 4 9 < / C o l u m n > < L a y e d O u t > t r u e < / L a y e d O u t > < / a : V a l u e > < / a : K e y V a l u e O f D i a g r a m O b j e c t K e y a n y T y p e z b w N T n L X > < a : K e y V a l u e O f D i a g r a m O b j e c t K e y a n y T y p e z b w N T n L X > < a : K e y > < K e y > C o l u m n s \ T a r i f a   S t a r   +     ( s i n   i m p u e s t o s ) < / K e y > < / a : K e y > < a : V a l u e   i : t y p e = " M e a s u r e G r i d N o d e V i e w S t a t e " > < C o l u m n > 5 0 < / C o l u m n > < L a y e d O u t > t r u e < / L a y e d O u t > < / a : V a l u e > < / a : K e y V a l u e O f D i a g r a m O b j e c t K e y a n y T y p e z b w N T n L X > < a : K e y V a l u e O f D i a g r a m O b j e c t K e y a n y T y p e z b w N T n L X > < a : K e y > < K e y > C o l u m n s \ R e n t a   m e n u s u a l   p r o m o c i o n a l   p o r   l a   c o n t r a t a c i � n   S t a r   +     ( s i n   i m p u e s t o s ) < / K e y > < / a : K e y > < a : V a l u e   i : t y p e = " M e a s u r e G r i d N o d e V i e w S t a t e " > < C o l u m n > 5 1 < / C o l u m n > < L a y e d O u t > t r u e < / L a y e d O u t > < / a : V a l u e > < / a : K e y V a l u e O f D i a g r a m O b j e c t K e y a n y T y p e z b w N T n L X > < a : K e y V a l u e O f D i a g r a m O b j e c t K e y a n y T y p e z b w N T n L X > < a : K e y > < K e y > C o l u m n s \ T � r m i n o s   y   c o n d i c i o n e s 1 8 < / K e y > < / a : K e y > < a : V a l u e   i : t y p e = " M e a s u r e G r i d N o d e V i e w S t a t e " > < C o l u m n > 5 2 < / C o l u m n > < L a y e d O u t > t r u e < / L a y e d O u t > < / a : V a l u e > < / a : K e y V a l u e O f D i a g r a m O b j e c t K e y a n y T y p e z b w N T n L X > < a : K e y V a l u e O f D i a g r a m O b j e c t K e y a n y T y p e z b w N T n L X > < a : K e y > < K e y > C o l u m n s \ T a r i f a   C o m b o   +   ( s i n   i m p u e s t o s ) < / K e y > < / a : K e y > < a : V a l u e   i : t y p e = " M e a s u r e G r i d N o d e V i e w S t a t e " > < C o l u m n > 5 3 < / C o l u m n > < L a y e d O u t > t r u e < / L a y e d O u t > < / a : V a l u e > < / a : K e y V a l u e O f D i a g r a m O b j e c t K e y a n y T y p e z b w N T n L X > < a : K e y V a l u e O f D i a g r a m O b j e c t K e y a n y T y p e z b w N T n L X > < a : K e y > < K e y > C o l u m n s \ R e n t a   m e n u s u a l   p r o m o c i o n a l   p o r   l a   c o n t r a t a c i � n   C o m b o   ( s i n   i m p u e s t o s ) < / K e y > < / a : K e y > < a : V a l u e   i : t y p e = " M e a s u r e G r i d N o d e V i e w S t a t e " > < C o l u m n > 5 4 < / C o l u m n > < L a y e d O u t > t r u e < / L a y e d O u t > < / a : V a l u e > < / a : K e y V a l u e O f D i a g r a m O b j e c t K e y a n y T y p e z b w N T n L X > < a : K e y V a l u e O f D i a g r a m O b j e c t K e y a n y T y p e z b w N T n L X > < a : K e y > < K e y > C o l u m n s \ T � r m i n o s   y   c o n d i c i o n e s 1 9 < / K e y > < / a : K e y > < a : V a l u e   i : t y p e = " M e a s u r e G r i d N o d e V i e w S t a t e " > < C o l u m n > 5 5 < / C o l u m n > < L a y e d O u t > t r u e < / L a y e d O u t > < / a : V a l u e > < / a : K e y V a l u e O f D i a g r a m O b j e c t K e y a n y T y p e z b w N T n L X > < a : K e y V a l u e O f D i a g r a m O b j e c t K e y a n y T y p e z b w N T n L X > < a : K e y > < K e y > C o l u m n s \ T a r i f a   F o x   S p o r t   P r e m i u m     ( s i n   i m p u e s t o s ) < / K e y > < / a : K e y > < a : V a l u e   i : t y p e = " M e a s u r e G r i d N o d e V i e w S t a t e " > < C o l u m n > 5 6 < / C o l u m n > < L a y e d O u t > t r u e < / L a y e d O u t > < / a : V a l u e > < / a : K e y V a l u e O f D i a g r a m O b j e c t K e y a n y T y p e z b w N T n L X > < a : K e y V a l u e O f D i a g r a m O b j e c t K e y a n y T y p e z b w N T n L X > < a : K e y > < K e y > C o l u m n s \ R e n t a   m e n u s u a l   p r o m o c i o n a l   p o r   l a   c o n t r a t a c i � n   F o x   S p o r t   P r e m i u m   ( s i n   i m p u e s t o s ) < / K e y > < / a : K e y > < a : V a l u e   i : t y p e = " M e a s u r e G r i d N o d e V i e w S t a t e " > < C o l u m n > 5 7 < / C o l u m n > < L a y e d O u t > t r u e < / L a y e d O u t > < / a : V a l u e > < / a : K e y V a l u e O f D i a g r a m O b j e c t K e y a n y T y p e z b w N T n L X > < a : K e y V a l u e O f D i a g r a m O b j e c t K e y a n y T y p e z b w N T n L X > < a : K e y > < K e y > C o l u m n s \ T � r m i n o s   y   c o n d i c i o n e s 2 0 < / K e y > < / a : K e y > < a : V a l u e   i : t y p e = " M e a s u r e G r i d N o d e V i e w S t a t e " > < C o l u m n > 5 8 < / C o l u m n > < L a y e d O u t > t r u e < / L a y e d O u t > < / a : V a l u e > < / a : K e y V a l u e O f D i a g r a m O b j e c t K e y a n y T y p e z b w N T n L X > < / V i e w S t a t e s > < / D i a g r a m M a n a g e r . S e r i a l i z a b l e D i a g r a m > < D i a g r a m M a n a g e r . S e r i a l i z a b l e D i a g r a m > < A d a p t e r   i : t y p e = " M e a s u r e D i a g r a m S a n d b o x A d a p t e r " > < T a b l e N a m e > C a n a s t a 2 0 2 3 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 C a n a s t a 2 0 2 3 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 C o l u m n s \ N o m b r e   d e   P l a n / P a q u e t e < / K e y > < / D i a g r a m O b j e c t K e y > < D i a g r a m O b j e c t K e y > < K e y > C o l u m n s \ T i p o * < / K e y > < / D i a g r a m O b j e c t K e y > < D i a g r a m O b j e c t K e y > < K e y > C o l u m n s \ T i p o   d e   p a q u e t e   c o n s i d e r a n d o   S T A R   ( s e r v i c i o s   i n c l u i d o s ) * < / K e y > < / D i a g r a m O b j e c t K e y > < D i a g r a m O b j e c t K e y > < K e y > C o l u m n s \ E s t a d o < / K e y > < / D i a g r a m O b j e c t K e y > < D i a g r a m O b j e c t K e y > < K e y > C o l u m n s \ M u n i c i p i o < / K e y > < / D i a g r a m O b j e c t K e y > < D i a g r a m O b j e c t K e y > < K e y > C o l u m n s \ L o c a l i d a d < / K e y > < / D i a g r a m O b j e c t K e y > < D i a g r a m O b j e c t K e y > < K e y > C o l u m n s \ F o l i o   R P C < / K e y > < / D i a g r a m O b j e c t K e y > < D i a g r a m O b j e c t K e y > < K e y > C o l u m n s \ R e n t a   m e n s u a l     ( s i n   i m p u e s t o s ) < / K e y > < / D i a g r a m O b j e c t K e y > < D i a g r a m O b j e c t K e y > < K e y > C o l u m n s \ R e n t a   m e n s u a l     ( c o n   i m p u e s t o s ) < / K e y > < / D i a g r a m O b j e c t K e y > < D i a g r a m O b j e c t K e y > < K e y > C o l u m n s \ C a n t i d a d   d e   T V   i n c l u i d a s < / K e y > < / D i a g r a m O b j e c t K e y > < D i a g r a m O b j e c t K e y > < K e y > C o l u m n s \ E n t r e t e n i m i e n t o < / K e y > < / D i a g r a m O b j e c t K e y > < D i a g r a m O b j e c t K e y > < K e y > C o l u m n s \ M � s i c a < / K e y > < / D i a g r a m O b j e c t K e y > < D i a g r a m O b j e c t K e y > < K e y > C o l u m n s \ N i � o s / F a m i l i a r < / K e y > < / D i a g r a m O b j e c t K e y > < D i a g r a m O b j e c t K e y > < K e y > C o l u m n s \ D o c u m e n t a l e s   /   C u l t u r a l e s < / K e y > < / D i a g r a m O b j e c t K e y > < D i a g r a m O b j e c t K e y > < K e y > C o l u m n s \ N a c i o n a l e s < / K e y > < / D i a g r a m O b j e c t K e y > < D i a g r a m O b j e c t K e y > < K e y > C o l u m n s \ I n t e r n a c i o n a l e s < / K e y > < / D i a g r a m O b j e c t K e y > < D i a g r a m O b j e c t K e y > < K e y > C o l u m n s \ D e p o r t e s < / K e y > < / D i a g r a m O b j e c t K e y > < D i a g r a m O b j e c t K e y > < K e y > C o l u m n s \ P e l � c u l a s < / K e y > < / D i a g r a m O b j e c t K e y > < D i a g r a m O b j e c t K e y > < K e y > C o l u m n s \ N � m e r o   d e   c a n a l e s   c o n   a l t a   d e f i n i c i � n   ( H D ) < / K e y > < / D i a g r a m O b j e c t K e y > < D i a g r a m O b j e c t K e y > < K e y > C o l u m n s \ N � m e r o   d e   c a n a l e s   " S o l o   A u d i o " < / K e y > < / D i a g r a m O b j e c t K e y > < D i a g r a m O b j e c t K e y > < K e y > C o l u m n s \ m a x < / K e y > < / D i a g r a m O b j e c t K e y > < D i a g r a m O b j e c t K e y > < K e y > C o l u m n s \ p a r a m o u n t   + < / K e y > < / D i a g r a m O b j e c t K e y > < D i a g r a m O b j e c t K e y > < K e y > C o l u m n s \ F o x   S p o r t   P r e m i u m < / K e y > < / D i a g r a m O b j e c t K e y > < D i a g r a m O b j e c t K e y > < K e y > C o l u m n s \ M L B < / K e y > < / D i a g r a m O b j e c t K e y > < D i a g r a m O b j e c t K e y > < K e y > C o l u m n s \ N B A   L e a g u e   P a s s < / K e y > < / D i a g r a m O b j e c t K e y > < D i a g r a m O b j e c t K e y > < K e y > C o l u m n s \ A d u l t   P a c k < / K e y > < / D i a g r a m O b j e c t K e y > < D i a g r a m O b j e c t K e y > < K e y > C o l u m n s \ o t r o s < / K e y > < / D i a g r a m O b j e c t K e y > < D i a g r a m O b j e c t K e y > < K e y > C o l u m n s \ C a n t i d a d   d e   l � n e a s   i n c l u i d a s < / K e y > < / D i a g r a m O b j e c t K e y > < D i a g r a m O b j e c t K e y > < K e y > C o l u m n s \ N a c i o n a l e s 2 < / K e y > < / D i a g r a m O b j e c t K e y > < D i a g r a m O b j e c t K e y > < K e y > C o l u m n s \ E s t d o s   U n i d o s   y   C a n a d � < / K e y > < / D i a g r a m O b j e c t K e y > < D i a g r a m O b j e c t K e y > < K e y > C o l u m n s \ N a c i o n a l e s 3 < / K e y > < / D i a g r a m O b j e c t K e y > < D i a g r a m O b j e c t K e y > < K e y > C o l u m n s \ E s t d o s   U n i d o s   y   C a n a d � 4 < / K e y > < / D i a g r a m O b j e c t K e y > < D i a g r a m O b j e c t K e y > < K e y > C o l u m n s \ V e l o c i d a d   d e   b a j a d a   o f e r t a d a   ( M b p s ) < / K e y > < / D i a g r a m O b j e c t K e y > < D i a g r a m O b j e c t K e y > < K e y > C o l u m n s \ V e l o c i d a d   d e   s u b i d a   o f e r t a d a   ( M b p s ) < / K e y > < / D i a g r a m O b j e c t K e y > < D i a g r a m O b j e c t K e y > < K e y > C o l u m n s \ � C u e n t a   c o n   p r o m o c i o n e s   q u e   i n c r e m e n t e n   s u   v e l o c i d a d   a   p a r t i r   d e l   p a g o   d e   l a   m i s m a   r e n t a   m e n s u a l ?   ( S < / K e y > < / D i a g r a m O b j e c t K e y > < D i a g r a m O b j e c t K e y > < K e y > C o l u m n s \ D u r a c i � n   d e l   p e r i o d o   d e   t i e m p o   ( e n   m e s e s )   e n   q u e   o f r e c e   l a   p r o m o c i � n   d e   i n c r e m e n t o   d e   v e l o c i d a d < / K e y > < / D i a g r a m O b j e c t K e y > < D i a g r a m O b j e c t K e y > < K e y > C o l u m n s \ V e l o c i d a d   d e   s u b i d a   o f e r t a d a   ( M b p s )   c o n   l a   p r o m o c i � n   d e   a u m e n t o   d e   v e l o c i d a d < / K e y > < / D i a g r a m O b j e c t K e y > < D i a g r a m O b j e c t K e y > < K e y > C o l u m n s \ V e l o c i d a d   d e   b a j a d a   o f e r t a d a   ( M b p s )   c o n   l a   p r o m o c i � n   d e   a u m e n t o   d e   v e l o c i d a d < / K e y > < / D i a g r a m O b j e c t K e y > < D i a g r a m O b j e c t K e y > < K e y > C o l u m n s \ V e l o c i d a d   d e   s u b i d a   o f e r t a d a   ( M b p s )   c o n   l a   p r o m o c i � n   d e   a u m e n t o   d e   v e l o c i d a d 5 < / K e y > < / D i a g r a m O b j e c t K e y > < D i a g r a m O b j e c t K e y > < K e y > C o l u m n s \ V e l o c i d a d   d e   b a j a d a   o f e r t a d a   ( M b p s )   c o n   l a   p r o m o c i � n   d e   a u m e n t o   d e   v e l o c i d a d 6 < / K e y > < / D i a g r a m O b j e c t K e y > < D i a g r a m O b j e c t K e y > < K e y > C o l u m n s \ V e l o c i d a d   d e   s u b i d a   o f e r t a d a   ( M b p s )   c o n   l a   p r o m o c i � n   d e   a u m e n t o   d e   v e l o c i d a d 7 < / K e y > < / D i a g r a m O b j e c t K e y > < D i a g r a m O b j e c t K e y > < K e y > C o l u m n s \ � C u e n t a   c o n   p r o m o c i o n e s   q u e   v u e l v a n   s u   v e l o c i d a d   s i m � t r i c a   p a r t i r   d e l   p a g o   d e   l a   m i s m a   r e n t a   m e n s u a l < / K e y > < / D i a g r a m O b j e c t K e y > < D i a g r a m O b j e c t K e y > < K e y > C o l u m n s \ D u r a c i � n   d e l   p e r i o d o   d e   t i e m p o   ( e n   m e s e s )   e n   q u e   o f r e c e   l a   p r o m o c i � n   d e   s i m e t r � a   e n   l a   v e l o c i d a d < / K e y > < / D i a g r a m O b j e c t K e y > < D i a g r a m O b j e c t K e y > < K e y > C o l u m n s \ � I n c l u y e   P a r a m o u n t   + ? < / K e y > < / D i a g r a m O b j e c t K e y > < D i a g r a m O b j e c t K e y > < K e y > C o l u m n s \ T � r m i n o s   y   c o n d i c i o n e s   d e l   s e r v i c i o * * < / K e y > < / D i a g r a m O b j e c t K e y > < D i a g r a m O b j e c t K e y > < K e y > C o l u m n s \ D u r a c i � n   d e l   p e r i o d o   d e   t i e m p o   ( e n   m e s e s )   e n   q u e   o f r e c e   a   l o s   u s u a r i o s   f i n a l e s   e l   s e r v i c i o   d e   P a r a m o < / K e y > < / D i a g r a m O b j e c t K e y > < D i a g r a m O b j e c t K e y > < K e y > C o l u m n s \ � I n c l u y e   m a x ? < / K e y > < / D i a g r a m O b j e c t K e y > < D i a g r a m O b j e c t K e y > < K e y > C o l u m n s \ T � r m i n o s   y   c o n d i c i o n e s   d e l   s e r v i c i o * * 8 < / K e y > < / D i a g r a m O b j e c t K e y > < D i a g r a m O b j e c t K e y > < K e y > C o l u m n s \ D u r a c i � n   d e l   p e r i o d o   d e   t i e m p o   ( e n   m e s e s )   e n   q u e   o f r e c e   a   l o s   u s u a r i o s   f i n a l e s   e l   s e r v i c i o   d e   m a x   s i < / K e y > < / D i a g r a m O b j e c t K e y > < D i a g r a m O b j e c t K e y > < K e y > C o l u m n s \ � I n c l u y e   m a x ?   9 < / K e y > < / D i a g r a m O b j e c t K e y > < D i a g r a m O b j e c t K e y > < K e y > C o l u m n s \ T � r m i n o s   y   c o n d i c i o n e s   d e l   s e r v i c i o * * 1 0 < / K e y > < / D i a g r a m O b j e c t K e y > < D i a g r a m O b j e c t K e y > < K e y > C o l u m n s \ D u r a c i � n   d e l   p e r i o d o   d e   t i e m p o   ( e n   m e s e s )   e n   q u e   o f r e c e   a   l o s   u s u a r i o s   f i n a l e s   e l   s e r v i c i o   d e   m a x     2 < / K e y > < / D i a g r a m O b j e c t K e y > < D i a g r a m O b j e c t K e y > < K e y > C o l u m n s \ C a n t i d a d   d e   s e r v i c i o s   a d i c i o n a l e s   i n c l u i d o s < / K e y > < / D i a g r a m O b j e c t K e y > < D i a g r a m O b j e c t K e y > < K e y > C o l u m n s \ N o m b r e   d e   l o s   s e r v i c i o s   a d i c i o n a l e s   i n c l u i d o s   ( p o r   e j e m p l o   (   I d e n t i f i c a d o r   d e   l l a m a d a s ,   D e s v i o   d e   l l < / K e y > < / D i a g r a m O b j e c t K e y > < D i a g r a m O b j e c t K e y > < K e y > C o l u m n s \ T V   a d i c i o n a l   * * * < / K e y > < / D i a g r a m O b j e c t K e y > < D i a g r a m O b j e c t K e y > < K e y > C o l u m n s \ C a r g o   p o r   i n s t a l a c i � n   * * * < / K e y > < / D i a g r a m O b j e c t K e y > < D i a g r a m O b j e c t K e y > < K e y > C o l u m n s \ E q u i p o   t e r m i n a l   ( M � d e m / O N T ) * * * < / K e y > < / D i a g r a m O b j e c t K e y > < D i a g r a m O b j e c t K e y > < K e y > C o l u m n s \ D e c o d i f i c a d o r   ( d i g i t a l )   * * * < / K e y > < / D i a g r a m O b j e c t K e y > < D i a g r a m O b j e c t K e y > < K e y > C o l u m n s \ X v i e w   +   /   X v i e w   * * * < / K e y > < / D i a g r a m O b j e c t K e y > < D i a g r a m O b j e c t K e y > < K e y > C o l u m n s \ S e r v i c i o   C l o u d     ( C l o u d   1 ,   C l o u d   2 )   * * * < / K e y > < / D i a g r a m O b j e c t K e y > < D i a g r a m O b j e c t K e y > < K e y > C o l u m n s \ M e g a   M � v i l   * * * < / K e y > < / D i a g r a m O b j e c t K e y > < D i a g r a m O b j e c t K e y > < K e y > C o l u m n s \ E x t e n s o r   M e s h   * * * < / K e y > < / D i a g r a m O b j e c t K e y > < D i a g r a m O b j e c t K e y > < K e y > C o l u m n s \ N o r t o n   S e c u r i t y   * * *   N o r t o n   F a m i l y   * * *   N o r t o n   S e c u r e   V P N   * * * < / K e y > < / D i a g r a m O b j e c t K e y > < D i a g r a m O b j e c t K e y > < K e y > C o l u m n s \ F o x   S p o r t   P r e m i u m   * * * * < / K e y > < / D i a g r a m O b j e c t K e y > < D i a g r a m O b j e c t K e y > < K e y > C o l u m n s \ N B A   L e a g u e   P a s s   * * * * < / K e y > < / D i a g r a m O b j e c t K e y > < D i a g r a m O b j e c t K e y > < K e y > C o l u m n s \ M B L   * * * * < / K e y > < / D i a g r a m O b j e c t K e y > < D i a g r a m O b j e c t K e y > < K e y > C o l u m n s \ O t r o s   I n c l u y a   l a s   c o l u m n a s   q u e   s e a n   n e c e s a r i a s 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 C o l u m n s \ N o m b r e   d e   P l a n / P a q u e t e < / K e y > < / a : K e y > < a : V a l u e   i : t y p e = " M e a s u r e G r i d N o d e V i e w S t a t e " > < L a y e d O u t > t r u e < / L a y e d O u t > < / a : V a l u e > < / a : K e y V a l u e O f D i a g r a m O b j e c t K e y a n y T y p e z b w N T n L X > < a : K e y V a l u e O f D i a g r a m O b j e c t K e y a n y T y p e z b w N T n L X > < a : K e y > < K e y > C o l u m n s \ T i p o * < / K e y > < / a : K e y > < a : V a l u e   i : t y p e = " M e a s u r e G r i d N o d e V i e w S t a t e " > < C o l u m n > 1 < / C o l u m n > < L a y e d O u t > t r u e < / L a y e d O u t > < / a : V a l u e > < / a : K e y V a l u e O f D i a g r a m O b j e c t K e y a n y T y p e z b w N T n L X > < a : K e y V a l u e O f D i a g r a m O b j e c t K e y a n y T y p e z b w N T n L X > < a : K e y > < K e y > C o l u m n s \ T i p o   d e   p a q u e t e   c o n s i d e r a n d o   S T A R   ( s e r v i c i o s   i n c l u i d o s ) * < / K e y > < / a : K e y > < a : V a l u e   i : t y p e = " M e a s u r e G r i d N o d e V i e w S t a t e " > < C o l u m n > 2 < / C o l u m n > < L a y e d O u t > t r u e < / L a y e d O u t > < / a : V a l u e > < / a : K e y V a l u e O f D i a g r a m O b j e c t K e y a n y T y p e z b w N T n L X > < a : K e y V a l u e O f D i a g r a m O b j e c t K e y a n y T y p e z b w N T n L X > < a : K e y > < K e y > C o l u m n s \ E s t a d o < / K e y > < / a : K e y > < a : V a l u e   i : t y p e = " M e a s u r e G r i d N o d e V i e w S t a t e " > < C o l u m n > 3 < / C o l u m n > < L a y e d O u t > t r u e < / L a y e d O u t > < / a : V a l u e > < / a : K e y V a l u e O f D i a g r a m O b j e c t K e y a n y T y p e z b w N T n L X > < a : K e y V a l u e O f D i a g r a m O b j e c t K e y a n y T y p e z b w N T n L X > < a : K e y > < K e y > C o l u m n s \ M u n i c i p i o < / K e y > < / a : K e y > < a : V a l u e   i : t y p e = " M e a s u r e G r i d N o d e V i e w S t a t e " > < C o l u m n > 4 < / C o l u m n > < L a y e d O u t > t r u e < / L a y e d O u t > < / a : V a l u e > < / a : K e y V a l u e O f D i a g r a m O b j e c t K e y a n y T y p e z b w N T n L X > < a : K e y V a l u e O f D i a g r a m O b j e c t K e y a n y T y p e z b w N T n L X > < a : K e y > < K e y > C o l u m n s \ L o c a l i d a d < / K e y > < / a : K e y > < a : V a l u e   i : t y p e = " M e a s u r e G r i d N o d e V i e w S t a t e " > < C o l u m n > 5 < / C o l u m n > < L a y e d O u t > t r u e < / L a y e d O u t > < / a : V a l u e > < / a : K e y V a l u e O f D i a g r a m O b j e c t K e y a n y T y p e z b w N T n L X > < a : K e y V a l u e O f D i a g r a m O b j e c t K e y a n y T y p e z b w N T n L X > < a : K e y > < K e y > C o l u m n s \ F o l i o   R P C < / K e y > < / a : K e y > < a : V a l u e   i : t y p e = " M e a s u r e G r i d N o d e V i e w S t a t e " > < C o l u m n > 6 < / C o l u m n > < L a y e d O u t > t r u e < / L a y e d O u t > < / a : V a l u e > < / a : K e y V a l u e O f D i a g r a m O b j e c t K e y a n y T y p e z b w N T n L X > < a : K e y V a l u e O f D i a g r a m O b j e c t K e y a n y T y p e z b w N T n L X > < a : K e y > < K e y > C o l u m n s \ R e n t a   m e n s u a l     ( s i n   i m p u e s t o s ) < / K e y > < / a : K e y > < a : V a l u e   i : t y p e = " M e a s u r e G r i d N o d e V i e w S t a t e " > < C o l u m n > 7 < / C o l u m n > < L a y e d O u t > t r u e < / L a y e d O u t > < / a : V a l u e > < / a : K e y V a l u e O f D i a g r a m O b j e c t K e y a n y T y p e z b w N T n L X > < a : K e y V a l u e O f D i a g r a m O b j e c t K e y a n y T y p e z b w N T n L X > < a : K e y > < K e y > C o l u m n s \ R e n t a   m e n s u a l     ( c o n   i m p u e s t o s ) < / K e y > < / a : K e y > < a : V a l u e   i : t y p e = " M e a s u r e G r i d N o d e V i e w S t a t e " > < C o l u m n > 8 < / C o l u m n > < L a y e d O u t > t r u e < / L a y e d O u t > < / a : V a l u e > < / a : K e y V a l u e O f D i a g r a m O b j e c t K e y a n y T y p e z b w N T n L X > < a : K e y V a l u e O f D i a g r a m O b j e c t K e y a n y T y p e z b w N T n L X > < a : K e y > < K e y > C o l u m n s \ C a n t i d a d   d e   T V   i n c l u i d a s < / K e y > < / a : K e y > < a : V a l u e   i : t y p e = " M e a s u r e G r i d N o d e V i e w S t a t e " > < C o l u m n > 9 < / C o l u m n > < L a y e d O u t > t r u e < / L a y e d O u t > < / a : V a l u e > < / a : K e y V a l u e O f D i a g r a m O b j e c t K e y a n y T y p e z b w N T n L X > < a : K e y V a l u e O f D i a g r a m O b j e c t K e y a n y T y p e z b w N T n L X > < a : K e y > < K e y > C o l u m n s \ E n t r e t e n i m i e n t o < / K e y > < / a : K e y > < a : V a l u e   i : t y p e = " M e a s u r e G r i d N o d e V i e w S t a t e " > < C o l u m n > 1 0 < / C o l u m n > < L a y e d O u t > t r u e < / L a y e d O u t > < / a : V a l u e > < / a : K e y V a l u e O f D i a g r a m O b j e c t K e y a n y T y p e z b w N T n L X > < a : K e y V a l u e O f D i a g r a m O b j e c t K e y a n y T y p e z b w N T n L X > < a : K e y > < K e y > C o l u m n s \ M � s i c a < / K e y > < / a : K e y > < a : V a l u e   i : t y p e = " M e a s u r e G r i d N o d e V i e w S t a t e " > < C o l u m n > 1 1 < / C o l u m n > < L a y e d O u t > t r u e < / L a y e d O u t > < / a : V a l u e > < / a : K e y V a l u e O f D i a g r a m O b j e c t K e y a n y T y p e z b w N T n L X > < a : K e y V a l u e O f D i a g r a m O b j e c t K e y a n y T y p e z b w N T n L X > < a : K e y > < K e y > C o l u m n s \ N i � o s / F a m i l i a r < / K e y > < / a : K e y > < a : V a l u e   i : t y p e = " M e a s u r e G r i d N o d e V i e w S t a t e " > < C o l u m n > 1 2 < / C o l u m n > < L a y e d O u t > t r u e < / L a y e d O u t > < / a : V a l u e > < / a : K e y V a l u e O f D i a g r a m O b j e c t K e y a n y T y p e z b w N T n L X > < a : K e y V a l u e O f D i a g r a m O b j e c t K e y a n y T y p e z b w N T n L X > < a : K e y > < K e y > C o l u m n s \ D o c u m e n t a l e s   /   C u l t u r a l e s < / K e y > < / a : K e y > < a : V a l u e   i : t y p e = " M e a s u r e G r i d N o d e V i e w S t a t e " > < C o l u m n > 1 3 < / C o l u m n > < L a y e d O u t > t r u e < / L a y e d O u t > < / a : V a l u e > < / a : K e y V a l u e O f D i a g r a m O b j e c t K e y a n y T y p e z b w N T n L X > < a : K e y V a l u e O f D i a g r a m O b j e c t K e y a n y T y p e z b w N T n L X > < a : K e y > < K e y > C o l u m n s \ N a c i o n a l e s < / K e y > < / a : K e y > < a : V a l u e   i : t y p e = " M e a s u r e G r i d N o d e V i e w S t a t e " > < C o l u m n > 1 4 < / C o l u m n > < L a y e d O u t > t r u e < / L a y e d O u t > < / a : V a l u e > < / a : K e y V a l u e O f D i a g r a m O b j e c t K e y a n y T y p e z b w N T n L X > < a : K e y V a l u e O f D i a g r a m O b j e c t K e y a n y T y p e z b w N T n L X > < a : K e y > < K e y > C o l u m n s \ I n t e r n a c i o n a l e s < / K e y > < / a : K e y > < a : V a l u e   i : t y p e = " M e a s u r e G r i d N o d e V i e w S t a t e " > < C o l u m n > 1 5 < / C o l u m n > < L a y e d O u t > t r u e < / L a y e d O u t > < / a : V a l u e > < / a : K e y V a l u e O f D i a g r a m O b j e c t K e y a n y T y p e z b w N T n L X > < a : K e y V a l u e O f D i a g r a m O b j e c t K e y a n y T y p e z b w N T n L X > < a : K e y > < K e y > C o l u m n s \ D e p o r t e s < / K e y > < / a : K e y > < a : V a l u e   i : t y p e = " M e a s u r e G r i d N o d e V i e w S t a t e " > < C o l u m n > 1 6 < / C o l u m n > < L a y e d O u t > t r u e < / L a y e d O u t > < / a : V a l u e > < / a : K e y V a l u e O f D i a g r a m O b j e c t K e y a n y T y p e z b w N T n L X > < a : K e y V a l u e O f D i a g r a m O b j e c t K e y a n y T y p e z b w N T n L X > < a : K e y > < K e y > C o l u m n s \ P e l � c u l a s < / K e y > < / a : K e y > < a : V a l u e   i : t y p e = " M e a s u r e G r i d N o d e V i e w S t a t e " > < C o l u m n > 1 7 < / C o l u m n > < L a y e d O u t > t r u e < / L a y e d O u t > < / a : V a l u e > < / a : K e y V a l u e O f D i a g r a m O b j e c t K e y a n y T y p e z b w N T n L X > < a : K e y V a l u e O f D i a g r a m O b j e c t K e y a n y T y p e z b w N T n L X > < a : K e y > < K e y > C o l u m n s \ N � m e r o   d e   c a n a l e s   c o n   a l t a   d e f i n i c i � n   ( H D ) < / K e y > < / a : K e y > < a : V a l u e   i : t y p e = " M e a s u r e G r i d N o d e V i e w S t a t e " > < C o l u m n > 1 8 < / C o l u m n > < L a y e d O u t > t r u e < / L a y e d O u t > < / a : V a l u e > < / a : K e y V a l u e O f D i a g r a m O b j e c t K e y a n y T y p e z b w N T n L X > < a : K e y V a l u e O f D i a g r a m O b j e c t K e y a n y T y p e z b w N T n L X > < a : K e y > < K e y > C o l u m n s \ N � m e r o   d e   c a n a l e s   " S o l o   A u d i o " < / K e y > < / a : K e y > < a : V a l u e   i : t y p e = " M e a s u r e G r i d N o d e V i e w S t a t e " > < C o l u m n > 1 9 < / C o l u m n > < L a y e d O u t > t r u e < / L a y e d O u t > < / a : V a l u e > < / a : K e y V a l u e O f D i a g r a m O b j e c t K e y a n y T y p e z b w N T n L X > < a : K e y V a l u e O f D i a g r a m O b j e c t K e y a n y T y p e z b w N T n L X > < a : K e y > < K e y > C o l u m n s \ m a x < / K e y > < / a : K e y > < a : V a l u e   i : t y p e = " M e a s u r e G r i d N o d e V i e w S t a t e " > < C o l u m n > 2 0 < / C o l u m n > < L a y e d O u t > t r u e < / L a y e d O u t > < / a : V a l u e > < / a : K e y V a l u e O f D i a g r a m O b j e c t K e y a n y T y p e z b w N T n L X > < a : K e y V a l u e O f D i a g r a m O b j e c t K e y a n y T y p e z b w N T n L X > < a : K e y > < K e y > C o l u m n s \ p a r a m o u n t   + < / K e y > < / a : K e y > < a : V a l u e   i : t y p e = " M e a s u r e G r i d N o d e V i e w S t a t e " > < C o l u m n > 2 1 < / C o l u m n > < L a y e d O u t > t r u e < / L a y e d O u t > < / a : V a l u e > < / a : K e y V a l u e O f D i a g r a m O b j e c t K e y a n y T y p e z b w N T n L X > < a : K e y V a l u e O f D i a g r a m O b j e c t K e y a n y T y p e z b w N T n L X > < a : K e y > < K e y > C o l u m n s \ F o x   S p o r t   P r e m i u m < / K e y > < / a : K e y > < a : V a l u e   i : t y p e = " M e a s u r e G r i d N o d e V i e w S t a t e " > < C o l u m n > 2 2 < / C o l u m n > < L a y e d O u t > t r u e < / L a y e d O u t > < / a : V a l u e > < / a : K e y V a l u e O f D i a g r a m O b j e c t K e y a n y T y p e z b w N T n L X > < a : K e y V a l u e O f D i a g r a m O b j e c t K e y a n y T y p e z b w N T n L X > < a : K e y > < K e y > C o l u m n s \ M L B < / K e y > < / a : K e y > < a : V a l u e   i : t y p e = " M e a s u r e G r i d N o d e V i e w S t a t e " > < C o l u m n > 2 3 < / C o l u m n > < L a y e d O u t > t r u e < / L a y e d O u t > < / a : V a l u e > < / a : K e y V a l u e O f D i a g r a m O b j e c t K e y a n y T y p e z b w N T n L X > < a : K e y V a l u e O f D i a g r a m O b j e c t K e y a n y T y p e z b w N T n L X > < a : K e y > < K e y > C o l u m n s \ N B A   L e a g u e   P a s s < / K e y > < / a : K e y > < a : V a l u e   i : t y p e = " M e a s u r e G r i d N o d e V i e w S t a t e " > < C o l u m n > 2 4 < / C o l u m n > < L a y e d O u t > t r u e < / L a y e d O u t > < / a : V a l u e > < / a : K e y V a l u e O f D i a g r a m O b j e c t K e y a n y T y p e z b w N T n L X > < a : K e y V a l u e O f D i a g r a m O b j e c t K e y a n y T y p e z b w N T n L X > < a : K e y > < K e y > C o l u m n s \ A d u l t   P a c k < / K e y > < / a : K e y > < a : V a l u e   i : t y p e = " M e a s u r e G r i d N o d e V i e w S t a t e " > < C o l u m n > 2 5 < / C o l u m n > < L a y e d O u t > t r u e < / L a y e d O u t > < / a : V a l u e > < / a : K e y V a l u e O f D i a g r a m O b j e c t K e y a n y T y p e z b w N T n L X > < a : K e y V a l u e O f D i a g r a m O b j e c t K e y a n y T y p e z b w N T n L X > < a : K e y > < K e y > C o l u m n s \ o t r o s < / K e y > < / a : K e y > < a : V a l u e   i : t y p e = " M e a s u r e G r i d N o d e V i e w S t a t e " > < C o l u m n > 2 6 < / C o l u m n > < L a y e d O u t > t r u e < / L a y e d O u t > < / a : V a l u e > < / a : K e y V a l u e O f D i a g r a m O b j e c t K e y a n y T y p e z b w N T n L X > < a : K e y V a l u e O f D i a g r a m O b j e c t K e y a n y T y p e z b w N T n L X > < a : K e y > < K e y > C o l u m n s \ C a n t i d a d   d e   l � n e a s   i n c l u i d a s < / K e y > < / a : K e y > < a : V a l u e   i : t y p e = " M e a s u r e G r i d N o d e V i e w S t a t e " > < C o l u m n > 2 7 < / C o l u m n > < L a y e d O u t > t r u e < / L a y e d O u t > < / a : V a l u e > < / a : K e y V a l u e O f D i a g r a m O b j e c t K e y a n y T y p e z b w N T n L X > < a : K e y V a l u e O f D i a g r a m O b j e c t K e y a n y T y p e z b w N T n L X > < a : K e y > < K e y > C o l u m n s \ N a c i o n a l e s 2 < / K e y > < / a : K e y > < a : V a l u e   i : t y p e = " M e a s u r e G r i d N o d e V i e w S t a t e " > < C o l u m n > 2 8 < / C o l u m n > < L a y e d O u t > t r u e < / L a y e d O u t > < / a : V a l u e > < / a : K e y V a l u e O f D i a g r a m O b j e c t K e y a n y T y p e z b w N T n L X > < a : K e y V a l u e O f D i a g r a m O b j e c t K e y a n y T y p e z b w N T n L X > < a : K e y > < K e y > C o l u m n s \ E s t d o s   U n i d o s   y   C a n a d � < / K e y > < / a : K e y > < a : V a l u e   i : t y p e = " M e a s u r e G r i d N o d e V i e w S t a t e " > < C o l u m n > 2 9 < / C o l u m n > < L a y e d O u t > t r u e < / L a y e d O u t > < / a : V a l u e > < / a : K e y V a l u e O f D i a g r a m O b j e c t K e y a n y T y p e z b w N T n L X > < a : K e y V a l u e O f D i a g r a m O b j e c t K e y a n y T y p e z b w N T n L X > < a : K e y > < K e y > C o l u m n s \ N a c i o n a l e s 3 < / K e y > < / a : K e y > < a : V a l u e   i : t y p e = " M e a s u r e G r i d N o d e V i e w S t a t e " > < C o l u m n > 3 0 < / C o l u m n > < L a y e d O u t > t r u e < / L a y e d O u t > < / a : V a l u e > < / a : K e y V a l u e O f D i a g r a m O b j e c t K e y a n y T y p e z b w N T n L X > < a : K e y V a l u e O f D i a g r a m O b j e c t K e y a n y T y p e z b w N T n L X > < a : K e y > < K e y > C o l u m n s \ E s t d o s   U n i d o s   y   C a n a d � 4 < / K e y > < / a : K e y > < a : V a l u e   i : t y p e = " M e a s u r e G r i d N o d e V i e w S t a t e " > < C o l u m n > 3 1 < / C o l u m n > < L a y e d O u t > t r u e < / L a y e d O u t > < / a : V a l u e > < / a : K e y V a l u e O f D i a g r a m O b j e c t K e y a n y T y p e z b w N T n L X > < a : K e y V a l u e O f D i a g r a m O b j e c t K e y a n y T y p e z b w N T n L X > < a : K e y > < K e y > C o l u m n s \ V e l o c i d a d   d e   b a j a d a   o f e r t a d a   ( M b p s ) < / K e y > < / a : K e y > < a : V a l u e   i : t y p e = " M e a s u r e G r i d N o d e V i e w S t a t e " > < C o l u m n > 3 2 < / C o l u m n > < L a y e d O u t > t r u e < / L a y e d O u t > < / a : V a l u e > < / a : K e y V a l u e O f D i a g r a m O b j e c t K e y a n y T y p e z b w N T n L X > < a : K e y V a l u e O f D i a g r a m O b j e c t K e y a n y T y p e z b w N T n L X > < a : K e y > < K e y > C o l u m n s \ V e l o c i d a d   d e   s u b i d a   o f e r t a d a   ( M b p s ) < / K e y > < / a : K e y > < a : V a l u e   i : t y p e = " M e a s u r e G r i d N o d e V i e w S t a t e " > < C o l u m n > 3 3 < / C o l u m n > < L a y e d O u t > t r u e < / L a y e d O u t > < / a : V a l u e > < / a : K e y V a l u e O f D i a g r a m O b j e c t K e y a n y T y p e z b w N T n L X > < a : K e y V a l u e O f D i a g r a m O b j e c t K e y a n y T y p e z b w N T n L X > < a : K e y > < K e y > C o l u m n s \ � C u e n t a   c o n   p r o m o c i o n e s   q u e   i n c r e m e n t e n   s u   v e l o c i d a d   a   p a r t i r   d e l   p a g o   d e   l a   m i s m a   r e n t a   m e n s u a l ?   ( S < / K e y > < / a : K e y > < a : V a l u e   i : t y p e = " M e a s u r e G r i d N o d e V i e w S t a t e " > < C o l u m n > 3 4 < / C o l u m n > < L a y e d O u t > t r u e < / L a y e d O u t > < / a : V a l u e > < / a : K e y V a l u e O f D i a g r a m O b j e c t K e y a n y T y p e z b w N T n L X > < a : K e y V a l u e O f D i a g r a m O b j e c t K e y a n y T y p e z b w N T n L X > < a : K e y > < K e y > C o l u m n s \ D u r a c i � n   d e l   p e r i o d o   d e   t i e m p o   ( e n   m e s e s )   e n   q u e   o f r e c e   l a   p r o m o c i � n   d e   i n c r e m e n t o   d e   v e l o c i d a d < / K e y > < / a : K e y > < a : V a l u e   i : t y p e = " M e a s u r e G r i d N o d e V i e w S t a t e " > < C o l u m n > 3 5 < / C o l u m n > < L a y e d O u t > t r u e < / L a y e d O u t > < / a : V a l u e > < / a : K e y V a l u e O f D i a g r a m O b j e c t K e y a n y T y p e z b w N T n L X > < a : K e y V a l u e O f D i a g r a m O b j e c t K e y a n y T y p e z b w N T n L X > < a : K e y > < K e y > C o l u m n s \ V e l o c i d a d   d e   s u b i d a   o f e r t a d a   ( M b p s )   c o n   l a   p r o m o c i � n   d e   a u m e n t o   d e   v e l o c i d a d < / K e y > < / a : K e y > < a : V a l u e   i : t y p e = " M e a s u r e G r i d N o d e V i e w S t a t e " > < C o l u m n > 3 6 < / C o l u m n > < L a y e d O u t > t r u e < / L a y e d O u t > < / a : V a l u e > < / a : K e y V a l u e O f D i a g r a m O b j e c t K e y a n y T y p e z b w N T n L X > < a : K e y V a l u e O f D i a g r a m O b j e c t K e y a n y T y p e z b w N T n L X > < a : K e y > < K e y > C o l u m n s \ V e l o c i d a d   d e   b a j a d a   o f e r t a d a   ( M b p s )   c o n   l a   p r o m o c i � n   d e   a u m e n t o   d e   v e l o c i d a d < / K e y > < / a : K e y > < a : V a l u e   i : t y p e = " M e a s u r e G r i d N o d e V i e w S t a t e " > < C o l u m n > 3 7 < / C o l u m n > < L a y e d O u t > t r u e < / L a y e d O u t > < / a : V a l u e > < / a : K e y V a l u e O f D i a g r a m O b j e c t K e y a n y T y p e z b w N T n L X > < a : K e y V a l u e O f D i a g r a m O b j e c t K e y a n y T y p e z b w N T n L X > < a : K e y > < K e y > C o l u m n s \ V e l o c i d a d   d e   s u b i d a   o f e r t a d a   ( M b p s )   c o n   l a   p r o m o c i � n   d e   a u m e n t o   d e   v e l o c i d a d 5 < / K e y > < / a : K e y > < a : V a l u e   i : t y p e = " M e a s u r e G r i d N o d e V i e w S t a t e " > < C o l u m n > 3 8 < / C o l u m n > < L a y e d O u t > t r u e < / L a y e d O u t > < / a : V a l u e > < / a : K e y V a l u e O f D i a g r a m O b j e c t K e y a n y T y p e z b w N T n L X > < a : K e y V a l u e O f D i a g r a m O b j e c t K e y a n y T y p e z b w N T n L X > < a : K e y > < K e y > C o l u m n s \ V e l o c i d a d   d e   b a j a d a   o f e r t a d a   ( M b p s )   c o n   l a   p r o m o c i � n   d e   a u m e n t o   d e   v e l o c i d a d 6 < / K e y > < / a : K e y > < a : V a l u e   i : t y p e = " M e a s u r e G r i d N o d e V i e w S t a t e " > < C o l u m n > 3 9 < / C o l u m n > < L a y e d O u t > t r u e < / L a y e d O u t > < / a : V a l u e > < / a : K e y V a l u e O f D i a g r a m O b j e c t K e y a n y T y p e z b w N T n L X > < a : K e y V a l u e O f D i a g r a m O b j e c t K e y a n y T y p e z b w N T n L X > < a : K e y > < K e y > C o l u m n s \ V e l o c i d a d   d e   s u b i d a   o f e r t a d a   ( M b p s )   c o n   l a   p r o m o c i � n   d e   a u m e n t o   d e   v e l o c i d a d 7 < / K e y > < / a : K e y > < a : V a l u e   i : t y p e = " M e a s u r e G r i d N o d e V i e w S t a t e " > < C o l u m n > 4 0 < / C o l u m n > < L a y e d O u t > t r u e < / L a y e d O u t > < / a : V a l u e > < / a : K e y V a l u e O f D i a g r a m O b j e c t K e y a n y T y p e z b w N T n L X > < a : K e y V a l u e O f D i a g r a m O b j e c t K e y a n y T y p e z b w N T n L X > < a : K e y > < K e y > C o l u m n s \ � C u e n t a   c o n   p r o m o c i o n e s   q u e   v u e l v a n   s u   v e l o c i d a d   s i m � t r i c a   p a r t i r   d e l   p a g o   d e   l a   m i s m a   r e n t a   m e n s u a l < / K e y > < / a : K e y > < a : V a l u e   i : t y p e = " M e a s u r e G r i d N o d e V i e w S t a t e " > < C o l u m n > 4 1 < / C o l u m n > < L a y e d O u t > t r u e < / L a y e d O u t > < / a : V a l u e > < / a : K e y V a l u e O f D i a g r a m O b j e c t K e y a n y T y p e z b w N T n L X > < a : K e y V a l u e O f D i a g r a m O b j e c t K e y a n y T y p e z b w N T n L X > < a : K e y > < K e y > C o l u m n s \ D u r a c i � n   d e l   p e r i o d o   d e   t i e m p o   ( e n   m e s e s )   e n   q u e   o f r e c e   l a   p r o m o c i � n   d e   s i m e t r � a   e n   l a   v e l o c i d a d < / K e y > < / a : K e y > < a : V a l u e   i : t y p e = " M e a s u r e G r i d N o d e V i e w S t a t e " > < C o l u m n > 4 2 < / C o l u m n > < L a y e d O u t > t r u e < / L a y e d O u t > < / a : V a l u e > < / a : K e y V a l u e O f D i a g r a m O b j e c t K e y a n y T y p e z b w N T n L X > < a : K e y V a l u e O f D i a g r a m O b j e c t K e y a n y T y p e z b w N T n L X > < a : K e y > < K e y > C o l u m n s \ � I n c l u y e   P a r a m o u n t   + ? < / K e y > < / a : K e y > < a : V a l u e   i : t y p e = " M e a s u r e G r i d N o d e V i e w S t a t e " > < C o l u m n > 4 3 < / C o l u m n > < L a y e d O u t > t r u e < / L a y e d O u t > < / a : V a l u e > < / a : K e y V a l u e O f D i a g r a m O b j e c t K e y a n y T y p e z b w N T n L X > < a : K e y V a l u e O f D i a g r a m O b j e c t K e y a n y T y p e z b w N T n L X > < a : K e y > < K e y > C o l u m n s \ T � r m i n o s   y   c o n d i c i o n e s   d e l   s e r v i c i o * * < / K e y > < / a : K e y > < a : V a l u e   i : t y p e = " M e a s u r e G r i d N o d e V i e w S t a t e " > < C o l u m n > 4 4 < / C o l u m n > < L a y e d O u t > t r u e < / L a y e d O u t > < / a : V a l u e > < / a : K e y V a l u e O f D i a g r a m O b j e c t K e y a n y T y p e z b w N T n L X > < a : K e y V a l u e O f D i a g r a m O b j e c t K e y a n y T y p e z b w N T n L X > < a : K e y > < K e y > C o l u m n s \ D u r a c i � n   d e l   p e r i o d o   d e   t i e m p o   ( e n   m e s e s )   e n   q u e   o f r e c e   a   l o s   u s u a r i o s   f i n a l e s   e l   s e r v i c i o   d e   P a r a m o < / K e y > < / a : K e y > < a : V a l u e   i : t y p e = " M e a s u r e G r i d N o d e V i e w S t a t e " > < C o l u m n > 4 5 < / C o l u m n > < L a y e d O u t > t r u e < / L a y e d O u t > < / a : V a l u e > < / a : K e y V a l u e O f D i a g r a m O b j e c t K e y a n y T y p e z b w N T n L X > < a : K e y V a l u e O f D i a g r a m O b j e c t K e y a n y T y p e z b w N T n L X > < a : K e y > < K e y > C o l u m n s \ � I n c l u y e   m a x ? < / K e y > < / a : K e y > < a : V a l u e   i : t y p e = " M e a s u r e G r i d N o d e V i e w S t a t e " > < C o l u m n > 4 6 < / C o l u m n > < L a y e d O u t > t r u e < / L a y e d O u t > < / a : V a l u e > < / a : K e y V a l u e O f D i a g r a m O b j e c t K e y a n y T y p e z b w N T n L X > < a : K e y V a l u e O f D i a g r a m O b j e c t K e y a n y T y p e z b w N T n L X > < a : K e y > < K e y > C o l u m n s \ T � r m i n o s   y   c o n d i c i o n e s   d e l   s e r v i c i o * * 8 < / K e y > < / a : K e y > < a : V a l u e   i : t y p e = " M e a s u r e G r i d N o d e V i e w S t a t e " > < C o l u m n > 4 7 < / C o l u m n > < L a y e d O u t > t r u e < / L a y e d O u t > < / a : V a l u e > < / a : K e y V a l u e O f D i a g r a m O b j e c t K e y a n y T y p e z b w N T n L X > < a : K e y V a l u e O f D i a g r a m O b j e c t K e y a n y T y p e z b w N T n L X > < a : K e y > < K e y > C o l u m n s \ D u r a c i � n   d e l   p e r i o d o   d e   t i e m p o   ( e n   m e s e s )   e n   q u e   o f r e c e   a   l o s   u s u a r i o s   f i n a l e s   e l   s e r v i c i o   d e   m a x   s i < / K e y > < / a : K e y > < a : V a l u e   i : t y p e = " M e a s u r e G r i d N o d e V i e w S t a t e " > < C o l u m n > 4 8 < / C o l u m n > < L a y e d O u t > t r u e < / L a y e d O u t > < / a : V a l u e > < / a : K e y V a l u e O f D i a g r a m O b j e c t K e y a n y T y p e z b w N T n L X > < a : K e y V a l u e O f D i a g r a m O b j e c t K e y a n y T y p e z b w N T n L X > < a : K e y > < K e y > C o l u m n s \ � I n c l u y e   m a x ?   9 < / K e y > < / a : K e y > < a : V a l u e   i : t y p e = " M e a s u r e G r i d N o d e V i e w S t a t e " > < C o l u m n > 4 9 < / C o l u m n > < L a y e d O u t > t r u e < / L a y e d O u t > < / a : V a l u e > < / a : K e y V a l u e O f D i a g r a m O b j e c t K e y a n y T y p e z b w N T n L X > < a : K e y V a l u e O f D i a g r a m O b j e c t K e y a n y T y p e z b w N T n L X > < a : K e y > < K e y > C o l u m n s \ T � r m i n o s   y   c o n d i c i o n e s   d e l   s e r v i c i o * * 1 0 < / K e y > < / a : K e y > < a : V a l u e   i : t y p e = " M e a s u r e G r i d N o d e V i e w S t a t e " > < C o l u m n > 5 0 < / C o l u m n > < L a y e d O u t > t r u e < / L a y e d O u t > < / a : V a l u e > < / a : K e y V a l u e O f D i a g r a m O b j e c t K e y a n y T y p e z b w N T n L X > < a : K e y V a l u e O f D i a g r a m O b j e c t K e y a n y T y p e z b w N T n L X > < a : K e y > < K e y > C o l u m n s \ D u r a c i � n   d e l   p e r i o d o   d e   t i e m p o   ( e n   m e s e s )   e n   q u e   o f r e c e   a   l o s   u s u a r i o s   f i n a l e s   e l   s e r v i c i o   d e   m a x     2 < / K e y > < / a : K e y > < a : V a l u e   i : t y p e = " M e a s u r e G r i d N o d e V i e w S t a t e " > < C o l u m n > 5 1 < / C o l u m n > < L a y e d O u t > t r u e < / L a y e d O u t > < / a : V a l u e > < / a : K e y V a l u e O f D i a g r a m O b j e c t K e y a n y T y p e z b w N T n L X > < a : K e y V a l u e O f D i a g r a m O b j e c t K e y a n y T y p e z b w N T n L X > < a : K e y > < K e y > C o l u m n s \ C a n t i d a d   d e   s e r v i c i o s   a d i c i o n a l e s   i n c l u i d o s < / K e y > < / a : K e y > < a : V a l u e   i : t y p e = " M e a s u r e G r i d N o d e V i e w S t a t e " > < C o l u m n > 5 2 < / C o l u m n > < L a y e d O u t > t r u e < / L a y e d O u t > < / a : V a l u e > < / a : K e y V a l u e O f D i a g r a m O b j e c t K e y a n y T y p e z b w N T n L X > < a : K e y V a l u e O f D i a g r a m O b j e c t K e y a n y T y p e z b w N T n L X > < a : K e y > < K e y > C o l u m n s \ N o m b r e   d e   l o s   s e r v i c i o s   a d i c i o n a l e s   i n c l u i d o s   ( p o r   e j e m p l o   (   I d e n t i f i c a d o r   d e   l l a m a d a s ,   D e s v i o   d e   l l < / K e y > < / a : K e y > < a : V a l u e   i : t y p e = " M e a s u r e G r i d N o d e V i e w S t a t e " > < C o l u m n > 5 3 < / C o l u m n > < L a y e d O u t > t r u e < / L a y e d O u t > < / a : V a l u e > < / a : K e y V a l u e O f D i a g r a m O b j e c t K e y a n y T y p e z b w N T n L X > < a : K e y V a l u e O f D i a g r a m O b j e c t K e y a n y T y p e z b w N T n L X > < a : K e y > < K e y > C o l u m n s \ T V   a d i c i o n a l   * * * < / K e y > < / a : K e y > < a : V a l u e   i : t y p e = " M e a s u r e G r i d N o d e V i e w S t a t e " > < C o l u m n > 5 4 < / C o l u m n > < L a y e d O u t > t r u e < / L a y e d O u t > < / a : V a l u e > < / a : K e y V a l u e O f D i a g r a m O b j e c t K e y a n y T y p e z b w N T n L X > < a : K e y V a l u e O f D i a g r a m O b j e c t K e y a n y T y p e z b w N T n L X > < a : K e y > < K e y > C o l u m n s \ C a r g o   p o r   i n s t a l a c i � n   * * * < / K e y > < / a : K e y > < a : V a l u e   i : t y p e = " M e a s u r e G r i d N o d e V i e w S t a t e " > < C o l u m n > 5 5 < / C o l u m n > < L a y e d O u t > t r u e < / L a y e d O u t > < / a : V a l u e > < / a : K e y V a l u e O f D i a g r a m O b j e c t K e y a n y T y p e z b w N T n L X > < a : K e y V a l u e O f D i a g r a m O b j e c t K e y a n y T y p e z b w N T n L X > < a : K e y > < K e y > C o l u m n s \ E q u i p o   t e r m i n a l   ( M � d e m / O N T ) * * * < / K e y > < / a : K e y > < a : V a l u e   i : t y p e = " M e a s u r e G r i d N o d e V i e w S t a t e " > < C o l u m n > 5 6 < / C o l u m n > < L a y e d O u t > t r u e < / L a y e d O u t > < / a : V a l u e > < / a : K e y V a l u e O f D i a g r a m O b j e c t K e y a n y T y p e z b w N T n L X > < a : K e y V a l u e O f D i a g r a m O b j e c t K e y a n y T y p e z b w N T n L X > < a : K e y > < K e y > C o l u m n s \ D e c o d i f i c a d o r   ( d i g i t a l )   * * * < / K e y > < / a : K e y > < a : V a l u e   i : t y p e = " M e a s u r e G r i d N o d e V i e w S t a t e " > < C o l u m n > 5 7 < / C o l u m n > < L a y e d O u t > t r u e < / L a y e d O u t > < / a : V a l u e > < / a : K e y V a l u e O f D i a g r a m O b j e c t K e y a n y T y p e z b w N T n L X > < a : K e y V a l u e O f D i a g r a m O b j e c t K e y a n y T y p e z b w N T n L X > < a : K e y > < K e y > C o l u m n s \ X v i e w   +   /   X v i e w   * * * < / K e y > < / a : K e y > < a : V a l u e   i : t y p e = " M e a s u r e G r i d N o d e V i e w S t a t e " > < C o l u m n > 5 8 < / C o l u m n > < L a y e d O u t > t r u e < / L a y e d O u t > < / a : V a l u e > < / a : K e y V a l u e O f D i a g r a m O b j e c t K e y a n y T y p e z b w N T n L X > < a : K e y V a l u e O f D i a g r a m O b j e c t K e y a n y T y p e z b w N T n L X > < a : K e y > < K e y > C o l u m n s \ S e r v i c i o   C l o u d     ( C l o u d   1 ,   C l o u d   2 )   * * * < / K e y > < / a : K e y > < a : V a l u e   i : t y p e = " M e a s u r e G r i d N o d e V i e w S t a t e " > < C o l u m n > 5 9 < / C o l u m n > < L a y e d O u t > t r u e < / L a y e d O u t > < / a : V a l u e > < / a : K e y V a l u e O f D i a g r a m O b j e c t K e y a n y T y p e z b w N T n L X > < a : K e y V a l u e O f D i a g r a m O b j e c t K e y a n y T y p e z b w N T n L X > < a : K e y > < K e y > C o l u m n s \ M e g a   M � v i l   * * * < / K e y > < / a : K e y > < a : V a l u e   i : t y p e = " M e a s u r e G r i d N o d e V i e w S t a t e " > < C o l u m n > 6 0 < / C o l u m n > < L a y e d O u t > t r u e < / L a y e d O u t > < / a : V a l u e > < / a : K e y V a l u e O f D i a g r a m O b j e c t K e y a n y T y p e z b w N T n L X > < a : K e y V a l u e O f D i a g r a m O b j e c t K e y a n y T y p e z b w N T n L X > < a : K e y > < K e y > C o l u m n s \ E x t e n s o r   M e s h   * * * < / K e y > < / a : K e y > < a : V a l u e   i : t y p e = " M e a s u r e G r i d N o d e V i e w S t a t e " > < C o l u m n > 6 1 < / C o l u m n > < L a y e d O u t > t r u e < / L a y e d O u t > < / a : V a l u e > < / a : K e y V a l u e O f D i a g r a m O b j e c t K e y a n y T y p e z b w N T n L X > < a : K e y V a l u e O f D i a g r a m O b j e c t K e y a n y T y p e z b w N T n L X > < a : K e y > < K e y > C o l u m n s \ N o r t o n   S e c u r i t y   * * *   N o r t o n   F a m i l y   * * *   N o r t o n   S e c u r e   V P N   * * * < / K e y > < / a : K e y > < a : V a l u e   i : t y p e = " M e a s u r e G r i d N o d e V i e w S t a t e " > < C o l u m n > 6 2 < / C o l u m n > < L a y e d O u t > t r u e < / L a y e d O u t > < / a : V a l u e > < / a : K e y V a l u e O f D i a g r a m O b j e c t K e y a n y T y p e z b w N T n L X > < a : K e y V a l u e O f D i a g r a m O b j e c t K e y a n y T y p e z b w N T n L X > < a : K e y > < K e y > C o l u m n s \ F o x   S p o r t   P r e m i u m   * * * * < / K e y > < / a : K e y > < a : V a l u e   i : t y p e = " M e a s u r e G r i d N o d e V i e w S t a t e " > < C o l u m n > 6 3 < / C o l u m n > < L a y e d O u t > t r u e < / L a y e d O u t > < / a : V a l u e > < / a : K e y V a l u e O f D i a g r a m O b j e c t K e y a n y T y p e z b w N T n L X > < a : K e y V a l u e O f D i a g r a m O b j e c t K e y a n y T y p e z b w N T n L X > < a : K e y > < K e y > C o l u m n s \ N B A   L e a g u e   P a s s   * * * * < / K e y > < / a : K e y > < a : V a l u e   i : t y p e = " M e a s u r e G r i d N o d e V i e w S t a t e " > < C o l u m n > 6 4 < / C o l u m n > < L a y e d O u t > t r u e < / L a y e d O u t > < / a : V a l u e > < / a : K e y V a l u e O f D i a g r a m O b j e c t K e y a n y T y p e z b w N T n L X > < a : K e y V a l u e O f D i a g r a m O b j e c t K e y a n y T y p e z b w N T n L X > < a : K e y > < K e y > C o l u m n s \ M B L   * * * * < / K e y > < / a : K e y > < a : V a l u e   i : t y p e = " M e a s u r e G r i d N o d e V i e w S t a t e " > < C o l u m n > 6 5 < / C o l u m n > < L a y e d O u t > t r u e < / L a y e d O u t > < / a : V a l u e > < / a : K e y V a l u e O f D i a g r a m O b j e c t K e y a n y T y p e z b w N T n L X > < a : K e y V a l u e O f D i a g r a m O b j e c t K e y a n y T y p e z b w N T n L X > < a : K e y > < K e y > C o l u m n s \ O t r o s   I n c l u y a   l a s   c o l u m n a s   q u e   s e a n   n e c e s a r i a s < / K e y > < / a : K e y > < a : V a l u e   i : t y p e = " M e a s u r e G r i d N o d e V i e w S t a t e " > < C o l u m n > 6 6 < / C o l u m n > < L a y e d O u t > t r u e < / L a y e d O u t > < / a : V a l u e > < / a : K e y V a l u e O f D i a g r a m O b j e c t K e y a n y T y p e z b w N T n L X > < / V i e w S t a t e s > < / D i a g r a m M a n a g e r . S e r i a l i z a b l e D i a g r a m > < D i a g r a m M a n a g e r . S e r i a l i z a b l e D i a g r a m > < A d a p t e r   i : t y p e = " M e a s u r e D i a g r a m S a n d b o x A d a p t e r " > < T a b l e N a m e > S u s c r i p t o r e s a 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 S u s c r i p t o r e s a 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 C o l u m n s \ N o m b r e   d e   P l a n / P a q u e t e < / K e y > < / D i a g r a m O b j e c t K e y > < D i a g r a m O b j e c t K e y > < K e y > C o l u m n s \ T i p o * < / K e y > < / D i a g r a m O b j e c t K e y > < D i a g r a m O b j e c t K e y > < K e y > C o l u m n s \ T i p o   d e   p a q u e t e   c o n s i d e r a n d o   S T A R   ( s e r v i c i o s   i n c l u i d o s ) * < / K e y > < / D i a g r a m O b j e c t K e y > < D i a g r a m O b j e c t K e y > < K e y > C o l u m n s \ E s t a d o < / K e y > < / D i a g r a m O b j e c t K e y > < D i a g r a m O b j e c t K e y > < K e y > C o l u m n s \ M u n i c i p i o < / K e y > < / D i a g r a m O b j e c t K e y > < D i a g r a m O b j e c t K e y > < K e y > C o l u m n s \ L o c a l i d a d < / K e y > < / D i a g r a m O b j e c t K e y > < D i a g r a m O b j e c t K e y > < K e y > C o l u m n s \ d i c i e m b r e   2 0 2 3 < / K e y > < / D i a g r a m O b j e c t K e y > < D i a g r a m O b j e c t K e y > < K e y > C o l u m n s \ N o m b r e   d e   P l a n / P a q u e t e 2 < / K e y > < / D i a g r a m O b j e c t K e y > < D i a g r a m O b j e c t K e y > < K e y > C o l u m n s \ T i p o * 3 < / K e y > < / D i a g r a m O b j e c t K e y > < D i a g r a m O b j e c t K e y > < K e y > C o l u m n s \ T i p o   d e   p a q u e t e   c o n s i d e r a n d o   S T A R   ( s e r v i c i o s   i n c l u i d o s ) * 4 < / K e y > < / D i a g r a m O b j e c t K e y > < D i a g r a m O b j e c t K e y > < K e y > C o l u m n s \ E s t a d o 5 < / K e y > < / D i a g r a m O b j e c t K e y > < D i a g r a m O b j e c t K e y > < K e y > C o l u m n s \ M u n i c i p i o 6 < / K e y > < / D i a g r a m O b j e c t K e y > < D i a g r a m O b j e c t K e y > < K e y > C o l u m n s \ L o c a l i d a d 7 < / K e y > < / D i a g r a m O b j e c t K e y > < D i a g r a m O b j e c t K e y > < K e y > C o l u m n s \ m a y o   2 0 2 4 < / 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 C o l u m n s \ N o m b r e   d e   P l a n / P a q u e t e < / K e y > < / a : K e y > < a : V a l u e   i : t y p e = " M e a s u r e G r i d N o d e V i e w S t a t e " > < L a y e d O u t > t r u e < / L a y e d O u t > < / a : V a l u e > < / a : K e y V a l u e O f D i a g r a m O b j e c t K e y a n y T y p e z b w N T n L X > < a : K e y V a l u e O f D i a g r a m O b j e c t K e y a n y T y p e z b w N T n L X > < a : K e y > < K e y > C o l u m n s \ T i p o * < / K e y > < / a : K e y > < a : V a l u e   i : t y p e = " M e a s u r e G r i d N o d e V i e w S t a t e " > < C o l u m n > 1 < / C o l u m n > < L a y e d O u t > t r u e < / L a y e d O u t > < / a : V a l u e > < / a : K e y V a l u e O f D i a g r a m O b j e c t K e y a n y T y p e z b w N T n L X > < a : K e y V a l u e O f D i a g r a m O b j e c t K e y a n y T y p e z b w N T n L X > < a : K e y > < K e y > C o l u m n s \ T i p o   d e   p a q u e t e   c o n s i d e r a n d o   S T A R   ( s e r v i c i o s   i n c l u i d o s ) * < / K e y > < / a : K e y > < a : V a l u e   i : t y p e = " M e a s u r e G r i d N o d e V i e w S t a t e " > < C o l u m n > 2 < / C o l u m n > < L a y e d O u t > t r u e < / L a y e d O u t > < / a : V a l u e > < / a : K e y V a l u e O f D i a g r a m O b j e c t K e y a n y T y p e z b w N T n L X > < a : K e y V a l u e O f D i a g r a m O b j e c t K e y a n y T y p e z b w N T n L X > < a : K e y > < K e y > C o l u m n s \ E s t a d o < / K e y > < / a : K e y > < a : V a l u e   i : t y p e = " M e a s u r e G r i d N o d e V i e w S t a t e " > < C o l u m n > 3 < / C o l u m n > < L a y e d O u t > t r u e < / L a y e d O u t > < / a : V a l u e > < / a : K e y V a l u e O f D i a g r a m O b j e c t K e y a n y T y p e z b w N T n L X > < a : K e y V a l u e O f D i a g r a m O b j e c t K e y a n y T y p e z b w N T n L X > < a : K e y > < K e y > C o l u m n s \ M u n i c i p i o < / K e y > < / a : K e y > < a : V a l u e   i : t y p e = " M e a s u r e G r i d N o d e V i e w S t a t e " > < C o l u m n > 4 < / C o l u m n > < L a y e d O u t > t r u e < / L a y e d O u t > < / a : V a l u e > < / a : K e y V a l u e O f D i a g r a m O b j e c t K e y a n y T y p e z b w N T n L X > < a : K e y V a l u e O f D i a g r a m O b j e c t K e y a n y T y p e z b w N T n L X > < a : K e y > < K e y > C o l u m n s \ L o c a l i d a d < / K e y > < / a : K e y > < a : V a l u e   i : t y p e = " M e a s u r e G r i d N o d e V i e w S t a t e " > < C o l u m n > 5 < / C o l u m n > < L a y e d O u t > t r u e < / L a y e d O u t > < / a : V a l u e > < / a : K e y V a l u e O f D i a g r a m O b j e c t K e y a n y T y p e z b w N T n L X > < a : K e y V a l u e O f D i a g r a m O b j e c t K e y a n y T y p e z b w N T n L X > < a : K e y > < K e y > C o l u m n s \ d i c i e m b r e   2 0 2 3 < / K e y > < / a : K e y > < a : V a l u e   i : t y p e = " M e a s u r e G r i d N o d e V i e w S t a t e " > < C o l u m n > 6 < / C o l u m n > < L a y e d O u t > t r u e < / L a y e d O u t > < / a : V a l u e > < / a : K e y V a l u e O f D i a g r a m O b j e c t K e y a n y T y p e z b w N T n L X > < a : K e y V a l u e O f D i a g r a m O b j e c t K e y a n y T y p e z b w N T n L X > < a : K e y > < K e y > C o l u m n s \ N o m b r e   d e   P l a n / P a q u e t e 2 < / K e y > < / a : K e y > < a : V a l u e   i : t y p e = " M e a s u r e G r i d N o d e V i e w S t a t e " > < C o l u m n > 7 < / C o l u m n > < L a y e d O u t > t r u e < / L a y e d O u t > < / a : V a l u e > < / a : K e y V a l u e O f D i a g r a m O b j e c t K e y a n y T y p e z b w N T n L X > < a : K e y V a l u e O f D i a g r a m O b j e c t K e y a n y T y p e z b w N T n L X > < a : K e y > < K e y > C o l u m n s \ T i p o * 3 < / K e y > < / a : K e y > < a : V a l u e   i : t y p e = " M e a s u r e G r i d N o d e V i e w S t a t e " > < C o l u m n > 8 < / C o l u m n > < L a y e d O u t > t r u e < / L a y e d O u t > < / a : V a l u e > < / a : K e y V a l u e O f D i a g r a m O b j e c t K e y a n y T y p e z b w N T n L X > < a : K e y V a l u e O f D i a g r a m O b j e c t K e y a n y T y p e z b w N T n L X > < a : K e y > < K e y > C o l u m n s \ T i p o   d e   p a q u e t e   c o n s i d e r a n d o   S T A R   ( s e r v i c i o s   i n c l u i d o s ) * 4 < / K e y > < / a : K e y > < a : V a l u e   i : t y p e = " M e a s u r e G r i d N o d e V i e w S t a t e " > < C o l u m n > 9 < / C o l u m n > < L a y e d O u t > t r u e < / L a y e d O u t > < / a : V a l u e > < / a : K e y V a l u e O f D i a g r a m O b j e c t K e y a n y T y p e z b w N T n L X > < a : K e y V a l u e O f D i a g r a m O b j e c t K e y a n y T y p e z b w N T n L X > < a : K e y > < K e y > C o l u m n s \ E s t a d o 5 < / K e y > < / a : K e y > < a : V a l u e   i : t y p e = " M e a s u r e G r i d N o d e V i e w S t a t e " > < C o l u m n > 1 0 < / C o l u m n > < L a y e d O u t > t r u e < / L a y e d O u t > < / a : V a l u e > < / a : K e y V a l u e O f D i a g r a m O b j e c t K e y a n y T y p e z b w N T n L X > < a : K e y V a l u e O f D i a g r a m O b j e c t K e y a n y T y p e z b w N T n L X > < a : K e y > < K e y > C o l u m n s \ M u n i c i p i o 6 < / K e y > < / a : K e y > < a : V a l u e   i : t y p e = " M e a s u r e G r i d N o d e V i e w S t a t e " > < C o l u m n > 1 1 < / C o l u m n > < L a y e d O u t > t r u e < / L a y e d O u t > < / a : V a l u e > < / a : K e y V a l u e O f D i a g r a m O b j e c t K e y a n y T y p e z b w N T n L X > < a : K e y V a l u e O f D i a g r a m O b j e c t K e y a n y T y p e z b w N T n L X > < a : K e y > < K e y > C o l u m n s \ L o c a l i d a d 7 < / K e y > < / a : K e y > < a : V a l u e   i : t y p e = " M e a s u r e G r i d N o d e V i e w S t a t e " > < C o l u m n > 1 2 < / C o l u m n > < L a y e d O u t > t r u e < / L a y e d O u t > < / a : V a l u e > < / a : K e y V a l u e O f D i a g r a m O b j e c t K e y a n y T y p e z b w N T n L X > < a : K e y V a l u e O f D i a g r a m O b j e c t K e y a n y T y p e z b w N T n L X > < a : K e y > < K e y > C o l u m n s \ m a y o   2 0 2 4 < / K e y > < / a : K e y > < a : V a l u e   i : t y p e = " M e a s u r e G r i d N o d e V i e w S t a t e " > < C o l u m n > 1 3 < / C o l u m n > < L a y e d O u t > t r u e < / L a y e d O u t > < / a : V a l u e > < / a : K e y V a l u e O f D i a g r a m O b j e c t K e y a n y T y p e z b w N T n L X > < / V i e w S t a t e s > < / D i a g r a m M a n a g e r . S e r i a l i z a b l e D i a g r a m > < D i a g r a m M a n a g e r . S e r i a l i z a b l e D i a g r a m > < A d a p t e r   i : t y p e = " M e a s u r e D i a g r a m S a n d b o x A d a p t e r " > < T a b l e N a m e > S u s c r i p t o r e s b < / 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 S u s c r i p t o r e s b < / 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 C o l u m n s \ N o m b r e   d e   P l a n / P a q u e t e < / K e y > < / D i a g r a m O b j e c t K e y > < D i a g r a m O b j e c t K e y > < K e y > C o l u m n s \ T i p o * < / K e y > < / D i a g r a m O b j e c t K e y > < D i a g r a m O b j e c t K e y > < K e y > C o l u m n s \ E s t a d o < / K e y > < / D i a g r a m O b j e c t K e y > < D i a g r a m O b j e c t K e y > < K e y > C o l u m n s \ M u n i c i p i o < / K e y > < / D i a g r a m O b j e c t K e y > < D i a g r a m O b j e c t K e y > < K e y > C o l u m n s \ L o c a l i d a d < / K e y > < / D i a g r a m O b j e c t K e y > < D i a g r a m O b j e c t K e y > < K e y > C o l u m n s \ d i c i e m b r e   2 0 2 3 < / K e y > < / D i a g r a m O b j e c t K e y > < D i a g r a m O b j e c t K e y > < K e y > C o l u m n s \ N o m b r e   d e   P l a n / P a q u e t e 2 < / K e y > < / D i a g r a m O b j e c t K e y > < D i a g r a m O b j e c t K e y > < K e y > C o l u m n s \ T i p o * 3 < / K e y > < / D i a g r a m O b j e c t K e y > < D i a g r a m O b j e c t K e y > < K e y > C o l u m n s \ E s t a d o 4 < / K e y > < / D i a g r a m O b j e c t K e y > < D i a g r a m O b j e c t K e y > < K e y > C o l u m n s \ M u n i c i p i o 5 < / K e y > < / D i a g r a m O b j e c t K e y > < D i a g r a m O b j e c t K e y > < K e y > C o l u m n s \ L o c a l i d a d 6 < / K e y > < / D i a g r a m O b j e c t K e y > < D i a g r a m O b j e c t K e y > < K e y > C o l u m n s \ m a y o   2 0 2 4 < / 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 C o l u m n s \ N o m b r e   d e   P l a n / P a q u e t e < / K e y > < / a : K e y > < a : V a l u e   i : t y p e = " M e a s u r e G r i d N o d e V i e w S t a t e " > < L a y e d O u t > t r u e < / L a y e d O u t > < / a : V a l u e > < / a : K e y V a l u e O f D i a g r a m O b j e c t K e y a n y T y p e z b w N T n L X > < a : K e y V a l u e O f D i a g r a m O b j e c t K e y a n y T y p e z b w N T n L X > < a : K e y > < K e y > C o l u m n s \ T i p o * < / K e y > < / a : K e y > < a : V a l u e   i : t y p e = " M e a s u r e G r i d N o d e V i e w S t a t e " > < C o l u m n > 1 < / C o l u m n > < L a y e d O u t > t r u e < / L a y e d O u t > < / a : V a l u e > < / a : K e y V a l u e O f D i a g r a m O b j e c t K e y a n y T y p e z b w N T n L X > < a : K e y V a l u e O f D i a g r a m O b j e c t K e y a n y T y p e z b w N T n L X > < a : K e y > < K e y > C o l u m n s \ E s t a d o < / K e y > < / a : K e y > < a : V a l u e   i : t y p e = " M e a s u r e G r i d N o d e V i e w S t a t e " > < C o l u m n > 2 < / C o l u m n > < L a y e d O u t > t r u e < / L a y e d O u t > < / a : V a l u e > < / a : K e y V a l u e O f D i a g r a m O b j e c t K e y a n y T y p e z b w N T n L X > < a : K e y V a l u e O f D i a g r a m O b j e c t K e y a n y T y p e z b w N T n L X > < a : K e y > < K e y > C o l u m n s \ M u n i c i p i o < / K e y > < / a : K e y > < a : V a l u e   i : t y p e = " M e a s u r e G r i d N o d e V i e w S t a t e " > < C o l u m n > 3 < / C o l u m n > < L a y e d O u t > t r u e < / L a y e d O u t > < / a : V a l u e > < / a : K e y V a l u e O f D i a g r a m O b j e c t K e y a n y T y p e z b w N T n L X > < a : K e y V a l u e O f D i a g r a m O b j e c t K e y a n y T y p e z b w N T n L X > < a : K e y > < K e y > C o l u m n s \ L o c a l i d a d < / K e y > < / a : K e y > < a : V a l u e   i : t y p e = " M e a s u r e G r i d N o d e V i e w S t a t e " > < C o l u m n > 4 < / C o l u m n > < L a y e d O u t > t r u e < / L a y e d O u t > < / a : V a l u e > < / a : K e y V a l u e O f D i a g r a m O b j e c t K e y a n y T y p e z b w N T n L X > < a : K e y V a l u e O f D i a g r a m O b j e c t K e y a n y T y p e z b w N T n L X > < a : K e y > < K e y > C o l u m n s \ d i c i e m b r e   2 0 2 3 < / K e y > < / a : K e y > < a : V a l u e   i : t y p e = " M e a s u r e G r i d N o d e V i e w S t a t e " > < C o l u m n > 5 < / C o l u m n > < L a y e d O u t > t r u e < / L a y e d O u t > < / a : V a l u e > < / a : K e y V a l u e O f D i a g r a m O b j e c t K e y a n y T y p e z b w N T n L X > < a : K e y V a l u e O f D i a g r a m O b j e c t K e y a n y T y p e z b w N T n L X > < a : K e y > < K e y > C o l u m n s \ N o m b r e   d e   P l a n / P a q u e t e 2 < / K e y > < / a : K e y > < a : V a l u e   i : t y p e = " M e a s u r e G r i d N o d e V i e w S t a t e " > < C o l u m n > 6 < / C o l u m n > < L a y e d O u t > t r u e < / L a y e d O u t > < / a : V a l u e > < / a : K e y V a l u e O f D i a g r a m O b j e c t K e y a n y T y p e z b w N T n L X > < a : K e y V a l u e O f D i a g r a m O b j e c t K e y a n y T y p e z b w N T n L X > < a : K e y > < K e y > C o l u m n s \ T i p o * 3 < / K e y > < / a : K e y > < a : V a l u e   i : t y p e = " M e a s u r e G r i d N o d e V i e w S t a t e " > < C o l u m n > 7 < / C o l u m n > < L a y e d O u t > t r u e < / L a y e d O u t > < / a : V a l u e > < / a : K e y V a l u e O f D i a g r a m O b j e c t K e y a n y T y p e z b w N T n L X > < a : K e y V a l u e O f D i a g r a m O b j e c t K e y a n y T y p e z b w N T n L X > < a : K e y > < K e y > C o l u m n s \ E s t a d o 4 < / K e y > < / a : K e y > < a : V a l u e   i : t y p e = " M e a s u r e G r i d N o d e V i e w S t a t e " > < C o l u m n > 8 < / C o l u m n > < L a y e d O u t > t r u e < / L a y e d O u t > < / a : V a l u e > < / a : K e y V a l u e O f D i a g r a m O b j e c t K e y a n y T y p e z b w N T n L X > < a : K e y V a l u e O f D i a g r a m O b j e c t K e y a n y T y p e z b w N T n L X > < a : K e y > < K e y > C o l u m n s \ M u n i c i p i o 5 < / K e y > < / a : K e y > < a : V a l u e   i : t y p e = " M e a s u r e G r i d N o d e V i e w S t a t e " > < C o l u m n > 9 < / C o l u m n > < L a y e d O u t > t r u e < / L a y e d O u t > < / a : V a l u e > < / a : K e y V a l u e O f D i a g r a m O b j e c t K e y a n y T y p e z b w N T n L X > < a : K e y V a l u e O f D i a g r a m O b j e c t K e y a n y T y p e z b w N T n L X > < a : K e y > < K e y > C o l u m n s \ L o c a l i d a d 6 < / K e y > < / a : K e y > < a : V a l u e   i : t y p e = " M e a s u r e G r i d N o d e V i e w S t a t e " > < C o l u m n > 1 0 < / C o l u m n > < L a y e d O u t > t r u e < / L a y e d O u t > < / a : V a l u e > < / a : K e y V a l u e O f D i a g r a m O b j e c t K e y a n y T y p e z b w N T n L X > < a : K e y V a l u e O f D i a g r a m O b j e c t K e y a n y T y p e z b w N T n L X > < a : K e y > < K e y > C o l u m n s \ m a y o   2 0 2 4 < / K e y > < / a : K e y > < a : V a l u e   i : t y p e = " M e a s u r e G r i d N o d e V i e w S t a t e " > < C o l u m n > 1 1 < / 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 T a g s \ T a b l e s \ & l t ; T a b l e s \ T a r i f a s 2 0 2 3 & g t ; < / K e y > < / D i a g r a m O b j e c t K e y > < D i a g r a m O b j e c t K e y > < K e y > D y n a m i c   T a g s \ T a b l e s \ & l t ; T a b l e s \ C a n a s t a 2 0 2 4 & g t ; < / K e y > < / D i a g r a m O b j e c t K e y > < D i a g r a m O b j e c t K e y > < K e y > D y n a m i c   T a g s \ T a b l e s \ & l t ; T a b l e s \ T a r i f a s 2 0 2 4 & g t ; < / K e y > < / D i a g r a m O b j e c t K e y > < D i a g r a m O b j e c t K e y > < K e y > D y n a m i c   T a g s \ T a b l e s \ & l t ; T a b l e s \ C a n a s t a 2 0 2 3 & g t ; < / K e y > < / D i a g r a m O b j e c t K e y > < D i a g r a m O b j e c t K e y > < K e y > D y n a m i c   T a g s \ T a b l e s \ & l t ; T a b l e s \ S u s c r i p t o r e s a & g t ; < / K e y > < / D i a g r a m O b j e c t K e y > < D i a g r a m O b j e c t K e y > < K e y > D y n a m i c   T a g s \ T a b l e s \ & l t ; T a b l e s \ S u s c r i p t o r e s b & g t ; < / K e y > < / D i a g r a m O b j e c t K e y > < D i a g r a m O b j e c t K e y > < K e y > D y n a m i c   T a g s \ T a b l e s \ & l t ; T a b l e s \ S u s c r i p t o r e s c & g t ; < / K e y > < / D i a g r a m O b j e c t K e y > < D i a g r a m O b j e c t K e y > < K e y > T a b l e s \ T a r i f a s 2 0 2 3 < / K e y > < / D i a g r a m O b j e c t K e y > < D i a g r a m O b j e c t K e y > < K e y > T a b l e s \ T a r i f a s 2 0 2 3 \ C o l u m n s \ N o m b r e   d e   P l a n / P a q u e t e < / K e y > < / D i a g r a m O b j e c t K e y > < D i a g r a m O b j e c t K e y > < K e y > T a b l e s \ T a r i f a s 2 0 2 3 \ C o l u m n s \ T i p o * < / K e y > < / D i a g r a m O b j e c t K e y > < D i a g r a m O b j e c t K e y > < K e y > T a b l e s \ T a r i f a s 2 0 2 3 \ C o l u m n s \ T i p o   d e   p a q u e t e   c o n s i d e r a n d o   S T A R   ( s e r v i c i o s   i n c l u i d o s ) * < / K e y > < / D i a g r a m O b j e c t K e y > < D i a g r a m O b j e c t K e y > < K e y > T a b l e s \ T a r i f a s 2 0 2 3 \ C o l u m n s \ E s q u e m a * < / K e y > < / D i a g r a m O b j e c t K e y > < D i a g r a m O b j e c t K e y > < K e y > T a b l e s \ T a r i f a s 2 0 2 3 \ C o l u m n s \ P e r i o d o   d e   p a g o < / K e y > < / D i a g r a m O b j e c t K e y > < D i a g r a m O b j e c t K e y > < K e y > T a b l e s \ T a r i f a s 2 0 2 3 \ C o l u m n s \ E s t a d o < / K e y > < / D i a g r a m O b j e c t K e y > < D i a g r a m O b j e c t K e y > < K e y > T a b l e s \ T a r i f a s 2 0 2 3 \ C o l u m n s \ M u n i c i p i o < / K e y > < / D i a g r a m O b j e c t K e y > < D i a g r a m O b j e c t K e y > < K e y > T a b l e s \ T a r i f a s 2 0 2 3 \ C o l u m n s \ L o c a l i d a d < / K e y > < / D i a g r a m O b j e c t K e y > < D i a g r a m O b j e c t K e y > < K e y > T a b l e s \ T a r i f a s 2 0 2 3 \ C o l u m n s \ F o l i o   R P C < / K e y > < / D i a g r a m O b j e c t K e y > < D i a g r a m O b j e c t K e y > < K e y > T a b l e s \ T a r i f a s 2 0 2 3 \ C o l u m n s \ R e n t a   m e n s u a l   ( s i n   i m p u e s t o s ) < / K e y > < / D i a g r a m O b j e c t K e y > < D i a g r a m O b j e c t K e y > < K e y > T a b l e s \ T a r i f a s 2 0 2 3 \ C o l u m n s \ R e n t a   m e n s u a l     ( c o n   i m p u e s t o s ) < / K e y > < / D i a g r a m O b j e c t K e y > < D i a g r a m O b j e c t K e y > < K e y > T a b l e s \ T a r i f a s 2 0 2 3 \ C o l u m n s \ � T i e n e   p r o m o c i o n e s   a s o c i a d a s   a l   p a q u e t e   q u e   a j u s t e n   l a   t a r i f a   d e   l a   r e n t a   m e n s u a l ?   ( S i / N o ) < / K e y > < / D i a g r a m O b j e c t K e y > < D i a g r a m O b j e c t K e y > < K e y > T a b l e s \ T a r i f a s 2 0 2 3 \ C o l u m n s \ P r o m o c i � n   d e   " D e s c u e n t o   d e   s u   m e n s u a l i d a d "   p o r   u n   p e r i o d o   e s p e c � f i c o < / K e y > < / D i a g r a m O b j e c t K e y > < D i a g r a m O b j e c t K e y > < K e y > T a b l e s \ T a r i f a s 2 0 2 3 \ C o l u m n s \ R e n t a   m e n s u a l   c o n   t a r i f a   p r o m o c i o n a l   ( s i n   i m p u e s t o s ) < / K e y > < / D i a g r a m O b j e c t K e y > < D i a g r a m O b j e c t K e y > < K e y > T a b l e s \ T a r i f a s 2 0 2 3 \ C o l u m n s \ D u r a c i � n   d e   l a   p r o m o c i � n   ( e n   m e s e s ) < / K e y > < / D i a g r a m O b j e c t K e y > < D i a g r a m O b j e c t K e y > < K e y > T a b l e s \ T a r i f a s 2 0 2 3 \ C o l u m n s \ T � r m i n o s   y   c o n d i c i o n e s < / K e y > < / D i a g r a m O b j e c t K e y > < D i a g r a m O b j e c t K e y > < K e y > T a b l e s \ T a r i f a s 2 0 2 3 \ C o l u m n s \ P r o m o c i � n   p o r   " D o m i c i l i a c i � n "   d e   l a   r e n t a   m e n s u a l < / K e y > < / D i a g r a m O b j e c t K e y > < D i a g r a m O b j e c t K e y > < K e y > T a b l e s \ T a r i f a s 2 0 2 3 \ C o l u m n s \ R e n t a   m e n u s u a l   c o n   t a r i f a   p r o m o c i o n a l   ( s i n   i m p u e s t o s ) < / K e y > < / D i a g r a m O b j e c t K e y > < D i a g r a m O b j e c t K e y > < K e y > T a b l e s \ T a r i f a s 2 0 2 3 \ C o l u m n s \ D u r a c i � n   d e   l a   p r o m o c i � n   ( e n   m e s e s ) 2 < / K e y > < / D i a g r a m O b j e c t K e y > < D i a g r a m O b j e c t K e y > < K e y > T a b l e s \ T a r i f a s 2 0 2 3 \ C o l u m n s \ T � r m i n o s   y   c o n d i c i o n e s 3 < / K e y > < / D i a g r a m O b j e c t K e y > < D i a g r a m O b j e c t K e y > < K e y > T a b l e s \ T a r i f a s 2 0 2 3 \ C o l u m n s \ P r o m o c i � n   p o r   " A n u a l i d a d " < / K e y > < / D i a g r a m O b j e c t K e y > < D i a g r a m O b j e c t K e y > < K e y > T a b l e s \ T a r i f a s 2 0 2 3 \ C o l u m n s \ R e n t a   m e n u s u a l   c o n   t a r i f a   p r o m o c i o n a l   ( s i n   i m p u e s t o s ) 4 < / K e y > < / D i a g r a m O b j e c t K e y > < D i a g r a m O b j e c t K e y > < K e y > T a b l e s \ T a r i f a s 2 0 2 3 \ C o l u m n s \ D u r a c i � n   d e   l a   p r o m o c i � n   ( e n   m e s e s ) 5 < / K e y > < / D i a g r a m O b j e c t K e y > < D i a g r a m O b j e c t K e y > < K e y > T a b l e s \ T a r i f a s 2 0 2 3 \ C o l u m n s \ T � r m i n o s   y   c o n d i c i o n e s 6 < / K e y > < / D i a g r a m O b j e c t K e y > < D i a g r a m O b j e c t K e y > < K e y > T a b l e s \ T a r i f a s 2 0 2 3 \ C o l u m n s \ P r o m o c i � n   p o r   " C l i e n t e   a c t u a l   d e   T V " < / K e y > < / D i a g r a m O b j e c t K e y > < D i a g r a m O b j e c t K e y > < K e y > T a b l e s \ T a r i f a s 2 0 2 3 \ C o l u m n s \ R e n t a   m e n u s u a l   c o n   t a r i f a   p r o m o c i o n a l   ( s i n   i m p u e s t o s ) 7 < / K e y > < / D i a g r a m O b j e c t K e y > < D i a g r a m O b j e c t K e y > < K e y > T a b l e s \ T a r i f a s 2 0 2 3 \ C o l u m n s \ D u r a c i � n   d e   l a   p r o m o c i � n   ( e n   m e s e s ) 8 < / K e y > < / D i a g r a m O b j e c t K e y > < D i a g r a m O b j e c t K e y > < K e y > T a b l e s \ T a r i f a s 2 0 2 3 \ C o l u m n s \ T � r m i n o s   y   c o n d i c i o n e s 9 < / K e y > < / D i a g r a m O b j e c t K e y > < D i a g r a m O b j e c t K e y > < K e y > T a b l e s \ T a r i f a s 2 0 2 3 \ C o l u m n s \ � C u e n t a   c o n   i n c e n t i v o s   p r o m o c i o n a l e s   p o r   l a   c o n t r a t a c i � n   d e   a l g � n   s e r v i c i o   O T T   q u e   a j u s t e   e l   m o n t o   d < / K e y > < / D i a g r a m O b j e c t K e y > < D i a g r a m O b j e c t K e y > < K e y > T a b l e s \ T a r i f a s 2 0 2 3 \ C o l u m n s \ T a r i f a   N e t f l i x   E s t � n d a r   c o n   a n u n c i o s   ( s i n   i m p u e s t o s ) < / K e y > < / D i a g r a m O b j e c t K e y > < D i a g r a m O b j e c t K e y > < K e y > T a b l e s \ T a r i f a s 2 0 2 3 \ C o l u m n s \ R e n t a   m e n u s u a l   p r o m o c i o n a l   p o r   l a   c o n t r a t a c i � n   d e l   N e t f l i x   E s t � n d a r   c o n   a n u n c i o s   ( s i n   i m p u e s t o s ) < / K e y > < / D i a g r a m O b j e c t K e y > < D i a g r a m O b j e c t K e y > < K e y > T a b l e s \ T a r i f a s 2 0 2 3 \ C o l u m n s \ T � r m i n o s   y   c o n d i c i o n e s 1 0 < / K e y > < / D i a g r a m O b j e c t K e y > < D i a g r a m O b j e c t K e y > < K e y > T a b l e s \ T a r i f a s 2 0 2 3 \ C o l u m n s \ T a r i f a   N e t f l i x   E s t � n d a r   ( s i n   i m p u e s t o s ) < / K e y > < / D i a g r a m O b j e c t K e y > < D i a g r a m O b j e c t K e y > < K e y > T a b l e s \ T a r i f a s 2 0 2 3 \ C o l u m n s \ R e n t a   m e n u s u a l   p r o m o c i o n a l   p o r   l a   c o n t r a t a c i � n   d e l   N e t f l i x   E s t � n d a r   ( s i n   i m p u e s t o s ) < / K e y > < / D i a g r a m O b j e c t K e y > < D i a g r a m O b j e c t K e y > < K e y > T a b l e s \ T a r i f a s 2 0 2 3 \ C o l u m n s \ T � r m i n o s   y   c o n d i c i o n e s 1 1 < / K e y > < / D i a g r a m O b j e c t K e y > < D i a g r a m O b j e c t K e y > < K e y > T a b l e s \ T a r i f a s 2 0 2 3 \ C o l u m n s \ T a r i f a   N e t f l i x   P r e m i u m   ( s i n   i m p u e s t o s ) < / K e y > < / D i a g r a m O b j e c t K e y > < D i a g r a m O b j e c t K e y > < K e y > T a b l e s \ T a r i f a s 2 0 2 3 \ C o l u m n s \ R e n t a   m e n u s u a l   p r o m o c i o n a l   p o r   l a   c o n t r a t a c i � n   d e l   N e t f l i x   P r e m i u m   ( s i n   i m p u e s t o s ) < / K e y > < / D i a g r a m O b j e c t K e y > < D i a g r a m O b j e c t K e y > < K e y > T a b l e s \ T a r i f a s 2 0 2 3 \ C o l u m n s \ T � r m i n o s   y   c o n d i c i o n e s 1 2 < / K e y > < / D i a g r a m O b j e c t K e y > < D i a g r a m O b j e c t K e y > < K e y > T a b l e s \ T a r i f a s 2 0 2 3 \ C o l u m n s \ T a r i f a   A m a z o n   P r i m e   ( s i n   i m p u e s t o s ) < / K e y > < / D i a g r a m O b j e c t K e y > < D i a g r a m O b j e c t K e y > < K e y > T a b l e s \ T a r i f a s 2 0 2 3 \ C o l u m n s \ R e n t a   m e n u s u a l   p r o m o c i o n a l   p o r   l a   c o n t r a t a c i � n   P r i m e   V i d e o   ( s i n   i m p u e s t o s ) < / K e y > < / D i a g r a m O b j e c t K e y > < D i a g r a m O b j e c t K e y > < K e y > T a b l e s \ T a r i f a s 2 0 2 3 \ C o l u m n s \ T � r m i n o s   y   c o n d i c i o n e s 1 3 < / K e y > < / D i a g r a m O b j e c t K e y > < D i a g r a m O b j e c t K e y > < K e y > T a b l e s \ T a r i f a s 2 0 2 3 \ C o l u m n s \ T a r i f a   m a x     ( s i n   i m p u e s t o s ) < / K e y > < / D i a g r a m O b j e c t K e y > < D i a g r a m O b j e c t K e y > < K e y > T a b l e s \ T a r i f a s 2 0 2 3 \ C o l u m n s \ R e n t a   m e n u s u a l   p r o m o c i o n a l   p o r   l a   c o n t r a t a c i � n   m a x     ( s i n   i m p u e s t o s ) < / K e y > < / D i a g r a m O b j e c t K e y > < D i a g r a m O b j e c t K e y > < K e y > T a b l e s \ T a r i f a s 2 0 2 3 \ C o l u m n s \ T � r m i n o s   y   c o n d i c i o n e s 1 4 < / K e y > < / D i a g r a m O b j e c t K e y > < D i a g r a m O b j e c t K e y > < K e y > T a b l e s \ T a r i f a s 2 0 2 3 \ C o l u m n s \ T a r i f a   P a r a m o u n t   +   ( s i n   i m p u e s t o s ) < / K e y > < / D i a g r a m O b j e c t K e y > < D i a g r a m O b j e c t K e y > < K e y > T a b l e s \ T a r i f a s 2 0 2 3 \ C o l u m n s \ R e n t a   m e n u s u a l   p r o m o c i o n a l   p o r   l a   c o n t r a t a c i � n   P a r a m o u n t   +   ( s i n   i m p u e s t o s ) < / K e y > < / D i a g r a m O b j e c t K e y > < D i a g r a m O b j e c t K e y > < K e y > T a b l e s \ T a r i f a s 2 0 2 3 \ C o l u m n s \ T � r m i n o s   y   c o n d i c i o n e s 1 5 < / K e y > < / D i a g r a m O b j e c t K e y > < D i a g r a m O b j e c t K e y > < K e y > T a b l e s \ T a r i f a s 2 0 2 3 \ C o l u m n s \ T a r i f a   D i s n e y   +     ( s i n   i m p u e s t o s ) < / K e y > < / D i a g r a m O b j e c t K e y > < D i a g r a m O b j e c t K e y > < K e y > T a b l e s \ T a r i f a s 2 0 2 3 \ C o l u m n s \ R e n t a   m e n u s u a l   p r o m o c i o n a l   p o r   l a   c o n t r a t a c i � n   D i s n e y   +     ( s i n   i m p u e s t o s ) < / K e y > < / D i a g r a m O b j e c t K e y > < D i a g r a m O b j e c t K e y > < K e y > T a b l e s \ T a r i f a s 2 0 2 3 \ C o l u m n s \ T � r m i n o s   y   c o n d i c i o n e s 1 6 < / K e y > < / D i a g r a m O b j e c t K e y > < D i a g r a m O b j e c t K e y > < K e y > T a b l e s \ T a r i f a s 2 0 2 3 \ C o l u m n s \ T a r i f a   S t a r   +     ( s i n   i m p u e s t o s ) < / K e y > < / D i a g r a m O b j e c t K e y > < D i a g r a m O b j e c t K e y > < K e y > T a b l e s \ T a r i f a s 2 0 2 3 \ C o l u m n s \ R e n t a   m e n u s u a l   p r o m o c i o n a l   p o r   l a   c o n t r a t a c i � n   S t a r   +     ( s i n   i m p u e s t o s ) < / K e y > < / D i a g r a m O b j e c t K e y > < D i a g r a m O b j e c t K e y > < K e y > T a b l e s \ T a r i f a s 2 0 2 3 \ C o l u m n s \ T � r m i n o s   y   c o n d i c i o n e s 1 7 < / K e y > < / D i a g r a m O b j e c t K e y > < D i a g r a m O b j e c t K e y > < K e y > T a b l e s \ T a r i f a s 2 0 2 3 \ C o l u m n s \ T a r i f a   C o m b o   +   ( s i n   i m p u e s t o s ) < / K e y > < / D i a g r a m O b j e c t K e y > < D i a g r a m O b j e c t K e y > < K e y > T a b l e s \ T a r i f a s 2 0 2 3 \ C o l u m n s \ R e n t a   m e n u s u a l   p r o m o c i o n a l   p o r   l a   c o n t r a t a c i � n   C o m b o   ( s i n   i m p u e s t o s ) < / K e y > < / D i a g r a m O b j e c t K e y > < D i a g r a m O b j e c t K e y > < K e y > T a b l e s \ T a r i f a s 2 0 2 3 \ C o l u m n s \ T � r m i n o s   y   c o n d i c i o n e s 1 8 < / K e y > < / D i a g r a m O b j e c t K e y > < D i a g r a m O b j e c t K e y > < K e y > T a b l e s \ T a r i f a s 2 0 2 3 \ C o l u m n s \ T a r i f a   F o x   S p o r t   P r e m i u m     ( s i n   i m p u e s t o s ) < / K e y > < / D i a g r a m O b j e c t K e y > < D i a g r a m O b j e c t K e y > < K e y > T a b l e s \ T a r i f a s 2 0 2 3 \ C o l u m n s \ R e n t a   m e n u s u a l   p r o m o c i o n a l   p o r   l a   c o n t r a t a c i � n   F o x   S p o r t   P r e m i u m   ( s i n   i m p u e s t o s ) < / K e y > < / D i a g r a m O b j e c t K e y > < D i a g r a m O b j e c t K e y > < K e y > T a b l e s \ T a r i f a s 2 0 2 3 \ C o l u m n s \ T � r m i n o s   y   c o n d i c i o n e s 1 9 < / K e y > < / D i a g r a m O b j e c t K e y > < D i a g r a m O b j e c t K e y > < K e y > T a b l e s \ T a r i f a s 2 0 2 3 \ M e a s u r e s \ R e c u e n t o   d e   N o m b r e   d e   P l a n / P a q u e t e < / K e y > < / D i a g r a m O b j e c t K e y > < D i a g r a m O b j e c t K e y > < K e y > T a b l e s \ T a r i f a s 2 0 2 3 \ R e c u e n t o   d e   N o m b r e   d e   P l a n / P a q u e t e \ A d d i t i o n a l   I n f o \ M e d i d a   i m p l � c i t a < / K e y > < / D i a g r a m O b j e c t K e y > < D i a g r a m O b j e c t K e y > < K e y > T a b l e s \ T a r i f a s 2 0 2 3 \ M e a s u r e s \ S u m a   d e   R e n t a   m e n s u a l   ( s i n   i m p u e s t o s ) < / K e y > < / D i a g r a m O b j e c t K e y > < D i a g r a m O b j e c t K e y > < K e y > T a b l e s \ T a r i f a s 2 0 2 3 \ S u m a   d e   R e n t a   m e n s u a l   ( s i n   i m p u e s t o s ) \ A d d i t i o n a l   I n f o \ M e d i d a   i m p l � c i t a < / K e y > < / D i a g r a m O b j e c t K e y > < D i a g r a m O b j e c t K e y > < K e y > T a b l e s \ C a n a s t a 2 0 2 4 < / K e y > < / D i a g r a m O b j e c t K e y > < D i a g r a m O b j e c t K e y > < K e y > T a b l e s \ C a n a s t a 2 0 2 4 \ C o l u m n s \ N o m b r e   d e   P l a n / P a q u e t e < / K e y > < / D i a g r a m O b j e c t K e y > < D i a g r a m O b j e c t K e y > < K e y > T a b l e s \ C a n a s t a 2 0 2 4 \ C o l u m n s \ T i p o * < / K e y > < / D i a g r a m O b j e c t K e y > < D i a g r a m O b j e c t K e y > < K e y > T a b l e s \ C a n a s t a 2 0 2 4 \ C o l u m n s \ T i p o   d e   p a q u e t e   c o n s i d e r a n d o   S T A R   ( s e r v i c i o s   i n c l u i d o s ) * < / K e y > < / D i a g r a m O b j e c t K e y > < D i a g r a m O b j e c t K e y > < K e y > T a b l e s \ C a n a s t a 2 0 2 4 \ C o l u m n s \ E s t a d o < / K e y > < / D i a g r a m O b j e c t K e y > < D i a g r a m O b j e c t K e y > < K e y > T a b l e s \ C a n a s t a 2 0 2 4 \ C o l u m n s \ M u n i c i p i o < / K e y > < / D i a g r a m O b j e c t K e y > < D i a g r a m O b j e c t K e y > < K e y > T a b l e s \ C a n a s t a 2 0 2 4 \ C o l u m n s \ L o c a l i d a d < / K e y > < / D i a g r a m O b j e c t K e y > < D i a g r a m O b j e c t K e y > < K e y > T a b l e s \ C a n a s t a 2 0 2 4 \ C o l u m n s \ F o l i o   R P C < / K e y > < / D i a g r a m O b j e c t K e y > < D i a g r a m O b j e c t K e y > < K e y > T a b l e s \ C a n a s t a 2 0 2 4 \ C o l u m n s \ R e n t a   m e n s u a l     ( s i n   i m p u e s t o s ) < / K e y > < / D i a g r a m O b j e c t K e y > < D i a g r a m O b j e c t K e y > < K e y > T a b l e s \ C a n a s t a 2 0 2 4 \ C o l u m n s \ R e n t a   m e n s u a l     ( c o n   i m p u e s t o s ) < / K e y > < / D i a g r a m O b j e c t K e y > < D i a g r a m O b j e c t K e y > < K e y > T a b l e s \ C a n a s t a 2 0 2 4 \ C o l u m n s \ C a n t i d a d   d e   T V   i n c l u i d a s < / K e y > < / D i a g r a m O b j e c t K e y > < D i a g r a m O b j e c t K e y > < K e y > T a b l e s \ C a n a s t a 2 0 2 4 \ C o l u m n s \ E n t r e t e n i m i e n t o < / K e y > < / D i a g r a m O b j e c t K e y > < D i a g r a m O b j e c t K e y > < K e y > T a b l e s \ C a n a s t a 2 0 2 4 \ C o l u m n s \ M � s i c a < / K e y > < / D i a g r a m O b j e c t K e y > < D i a g r a m O b j e c t K e y > < K e y > T a b l e s \ C a n a s t a 2 0 2 4 \ C o l u m n s \ N i � o s / F a m i l i a r < / K e y > < / D i a g r a m O b j e c t K e y > < D i a g r a m O b j e c t K e y > < K e y > T a b l e s \ C a n a s t a 2 0 2 4 \ C o l u m n s \ D o c u m e n t a l e s   /   C u l t u r a l e s < / K e y > < / D i a g r a m O b j e c t K e y > < D i a g r a m O b j e c t K e y > < K e y > T a b l e s \ C a n a s t a 2 0 2 4 \ C o l u m n s \ N a c i o n a l e s < / K e y > < / D i a g r a m O b j e c t K e y > < D i a g r a m O b j e c t K e y > < K e y > T a b l e s \ C a n a s t a 2 0 2 4 \ C o l u m n s \ I n t e r n a c i o n a l e s < / K e y > < / D i a g r a m O b j e c t K e y > < D i a g r a m O b j e c t K e y > < K e y > T a b l e s \ C a n a s t a 2 0 2 4 \ C o l u m n s \ D e p o r t e s < / K e y > < / D i a g r a m O b j e c t K e y > < D i a g r a m O b j e c t K e y > < K e y > T a b l e s \ C a n a s t a 2 0 2 4 \ C o l u m n s \ P e l � c u l a s < / K e y > < / D i a g r a m O b j e c t K e y > < D i a g r a m O b j e c t K e y > < K e y > T a b l e s \ C a n a s t a 2 0 2 4 \ C o l u m n s \ N � m e r o   d e   c a n a l e s   c o n   a l t a   d e f i n i c i � n   ( H D ) < / K e y > < / D i a g r a m O b j e c t K e y > < D i a g r a m O b j e c t K e y > < K e y > T a b l e s \ C a n a s t a 2 0 2 4 \ C o l u m n s \ N � m e r o   d e   c a n a l e s   " S o l o   A u d i o " < / K e y > < / D i a g r a m O b j e c t K e y > < D i a g r a m O b j e c t K e y > < K e y > T a b l e s \ C a n a s t a 2 0 2 4 \ C o l u m n s \ m a x < / K e y > < / D i a g r a m O b j e c t K e y > < D i a g r a m O b j e c t K e y > < K e y > T a b l e s \ C a n a s t a 2 0 2 4 \ C o l u m n s \ p a r a m o u n t   + < / K e y > < / D i a g r a m O b j e c t K e y > < D i a g r a m O b j e c t K e y > < K e y > T a b l e s \ C a n a s t a 2 0 2 4 \ C o l u m n s \ F o x   S p o r t   P r e m i u m < / K e y > < / D i a g r a m O b j e c t K e y > < D i a g r a m O b j e c t K e y > < K e y > T a b l e s \ C a n a s t a 2 0 2 4 \ C o l u m n s \ M L B < / K e y > < / D i a g r a m O b j e c t K e y > < D i a g r a m O b j e c t K e y > < K e y > T a b l e s \ C a n a s t a 2 0 2 4 \ C o l u m n s \ N B A   L e a g u e   P a s s < / K e y > < / D i a g r a m O b j e c t K e y > < D i a g r a m O b j e c t K e y > < K e y > T a b l e s \ C a n a s t a 2 0 2 4 \ C o l u m n s \ A d u l t   P a c k < / K e y > < / D i a g r a m O b j e c t K e y > < D i a g r a m O b j e c t K e y > < K e y > T a b l e s \ C a n a s t a 2 0 2 4 \ C o l u m n s \ o t r o s < / K e y > < / D i a g r a m O b j e c t K e y > < D i a g r a m O b j e c t K e y > < K e y > T a b l e s \ C a n a s t a 2 0 2 4 \ C o l u m n s \ C a n t i d a d   d e   l � n e a s   i n c l u i d a s < / K e y > < / D i a g r a m O b j e c t K e y > < D i a g r a m O b j e c t K e y > < K e y > T a b l e s \ C a n a s t a 2 0 2 4 \ C o l u m n s \ N a c i o n a l e s 2 < / K e y > < / D i a g r a m O b j e c t K e y > < D i a g r a m O b j e c t K e y > < K e y > T a b l e s \ C a n a s t a 2 0 2 4 \ C o l u m n s \ E s t d o s   U n i d o s   y   C a n a d � < / K e y > < / D i a g r a m O b j e c t K e y > < D i a g r a m O b j e c t K e y > < K e y > T a b l e s \ C a n a s t a 2 0 2 4 \ C o l u m n s \ N a c i o n a l e s 3 < / K e y > < / D i a g r a m O b j e c t K e y > < D i a g r a m O b j e c t K e y > < K e y > T a b l e s \ C a n a s t a 2 0 2 4 \ C o l u m n s \ E s t d o s   U n i d o s   y   C a n a d � 4 < / K e y > < / D i a g r a m O b j e c t K e y > < D i a g r a m O b j e c t K e y > < K e y > T a b l e s \ C a n a s t a 2 0 2 4 \ C o l u m n s \ V e l o c i d a d   d e   b a j a d a   o f e r t a d a   ( M b p s ) < / K e y > < / D i a g r a m O b j e c t K e y > < D i a g r a m O b j e c t K e y > < K e y > T a b l e s \ C a n a s t a 2 0 2 4 \ C o l u m n s \ V e l o c i d a d   d e   s u b i d a   o f e r t a d a   ( M b p s ) < / K e y > < / D i a g r a m O b j e c t K e y > < D i a g r a m O b j e c t K e y > < K e y > T a b l e s \ C a n a s t a 2 0 2 4 \ C o l u m n s \ � C u e n t a   c o n   p r o m o c i o n e s   q u e   i n c r e m e n t e n   s u   v e l o c i d a d   a   p a r t i r   d e l   p a g o   d e   l a   m i s m a   r e n t a   m e n s u a l ?   ( S < / K e y > < / D i a g r a m O b j e c t K e y > < D i a g r a m O b j e c t K e y > < K e y > T a b l e s \ C a n a s t a 2 0 2 4 \ C o l u m n s \ D u r a c i � n   d e l   p e r i o d o   d e   t i e m p o   ( e n   m e s e s )   e n   q u e   o f r e c e   l a   p r o m o c i � n   d e   i n c r e m e n t o   d e   v e l o c i d a d < / K e y > < / D i a g r a m O b j e c t K e y > < D i a g r a m O b j e c t K e y > < K e y > T a b l e s \ C a n a s t a 2 0 2 4 \ C o l u m n s \ V e l o c i d a d   d e   s u b i d a   o f e r t a d a   ( M b p s )   c o n   l a   p r o m o c i � n   d e   a u m e n t o   d e   v e l o c i d a d < / K e y > < / D i a g r a m O b j e c t K e y > < D i a g r a m O b j e c t K e y > < K e y > T a b l e s \ C a n a s t a 2 0 2 4 \ C o l u m n s \ V e l o c i d a d   d e   b a j a d a   o f e r t a d a   ( M b p s )   c o n   l a   p r o m o c i � n   d e   a u m e n t o   d e   v e l o c i d a d < / K e y > < / D i a g r a m O b j e c t K e y > < D i a g r a m O b j e c t K e y > < K e y > T a b l e s \ C a n a s t a 2 0 2 4 \ C o l u m n s \ V e l o c i d a d   d e   s u b i d a   o f e r t a d a   ( M b p s )   c o n   l a   p r o m o c i � n   d e   a u m e n t o   d e   v e l o c i d a d 5 < / K e y > < / D i a g r a m O b j e c t K e y > < D i a g r a m O b j e c t K e y > < K e y > T a b l e s \ C a n a s t a 2 0 2 4 \ C o l u m n s \ V e l o c i d a d   d e   b a j a d a   o f e r t a d a   ( M b p s )   c o n   l a   p r o m o c i � n   d e   a u m e n t o   d e   v e l o c i d a d 6 < / K e y > < / D i a g r a m O b j e c t K e y > < D i a g r a m O b j e c t K e y > < K e y > T a b l e s \ C a n a s t a 2 0 2 4 \ C o l u m n s \ V e l o c i d a d   d e   s u b i d a   o f e r t a d a   ( M b p s )   c o n   l a   p r o m o c i � n   d e   a u m e n t o   d e   v e l o c i d a d 7 < / K e y > < / D i a g r a m O b j e c t K e y > < D i a g r a m O b j e c t K e y > < K e y > T a b l e s \ C a n a s t a 2 0 2 4 \ C o l u m n s \ � C u e n t a   c o n   p r o m o c i o n e s   q u e   v u e l v a n   s u   v e l o c i d a d   s i m � t r i c a   p a r t i r   d e l   p a g o   d e   l a   m i s m a   r e n t a   m e n s u a l < / K e y > < / D i a g r a m O b j e c t K e y > < D i a g r a m O b j e c t K e y > < K e y > T a b l e s \ C a n a s t a 2 0 2 4 \ C o l u m n s \ D u r a c i � n   d e l   p e r i o d o   d e   t i e m p o   ( e n   m e s e s )   e n   q u e   o f r e c e   l a   p r o m o c i � n   d e   s i m e t r � a   e n   l a   v e l o c i d a d < / K e y > < / D i a g r a m O b j e c t K e y > < D i a g r a m O b j e c t K e y > < K e y > T a b l e s \ C a n a s t a 2 0 2 4 \ C o l u m n s \ � I n c l u y e   P a r a m o u n t   + ? < / K e y > < / D i a g r a m O b j e c t K e y > < D i a g r a m O b j e c t K e y > < K e y > T a b l e s \ C a n a s t a 2 0 2 4 \ C o l u m n s \ T � r m i n o s   y   c o n d i c i o n e s   d e l   s e r v i c i o * * < / K e y > < / D i a g r a m O b j e c t K e y > < D i a g r a m O b j e c t K e y > < K e y > T a b l e s \ C a n a s t a 2 0 2 4 \ C o l u m n s \ D u r a c i � n   d e l   p e r i o d o   d e   t i e m p o   ( e n   m e s e s )   e n   q u e   o f r e c e   a   l o s   u s u a r i o s   f i n a l e s   e l   s e r v i c i o   d e   P a r a m o < / K e y > < / D i a g r a m O b j e c t K e y > < D i a g r a m O b j e c t K e y > < K e y > T a b l e s \ C a n a s t a 2 0 2 4 \ C o l u m n s \ � I n c l u y e   m a x ? < / K e y > < / D i a g r a m O b j e c t K e y > < D i a g r a m O b j e c t K e y > < K e y > T a b l e s \ C a n a s t a 2 0 2 4 \ C o l u m n s \ T � r m i n o s   y   c o n d i c i o n e s   d e l   s e r v i c i o * * 8 < / K e y > < / D i a g r a m O b j e c t K e y > < D i a g r a m O b j e c t K e y > < K e y > T a b l e s \ C a n a s t a 2 0 2 4 \ C o l u m n s \ D u r a c i � n   d e l   p e r i o d o   d e   t i e m p o   ( e n   m e s e s )   e n   q u e   o f r e c e   a   l o s   u s u a r i o s   f i n a l e s   e l   s e r v i c i o   d e   m a x   s i < / K e y > < / D i a g r a m O b j e c t K e y > < D i a g r a m O b j e c t K e y > < K e y > T a b l e s \ C a n a s t a 2 0 2 4 \ C o l u m n s \ � I n c l u y e   m a x ?   9 < / K e y > < / D i a g r a m O b j e c t K e y > < D i a g r a m O b j e c t K e y > < K e y > T a b l e s \ C a n a s t a 2 0 2 4 \ C o l u m n s \ T � r m i n o s   y   c o n d i c i o n e s   d e l   s e r v i c i o * * 1 0 < / K e y > < / D i a g r a m O b j e c t K e y > < D i a g r a m O b j e c t K e y > < K e y > T a b l e s \ C a n a s t a 2 0 2 4 \ C o l u m n s \ D u r a c i � n   d e l   p e r i o d o   d e   t i e m p o   ( e n   m e s e s )   e n   q u e   o f r e c e   a   l o s   u s u a r i o s   f i n a l e s   e l   s e r v i c i o   d e   m a x     2 < / K e y > < / D i a g r a m O b j e c t K e y > < D i a g r a m O b j e c t K e y > < K e y > T a b l e s \ C a n a s t a 2 0 2 4 \ C o l u m n s \ C a n t i d a d   d e   s e r v i c i o s   a d i c i o n a l e s   i n c l u i d o s < / K e y > < / D i a g r a m O b j e c t K e y > < D i a g r a m O b j e c t K e y > < K e y > T a b l e s \ C a n a s t a 2 0 2 4 \ C o l u m n s \ N o m b r e   d e   l o s   s e r v i c i o s   a d i c i o n a l e s   i n c l u i d o s   ( p o r   e j e m p l o   (   I d e n t i f i c a d o r   d e   l l a m a d a s ,   D e s v i o   d e   l l < / K e y > < / D i a g r a m O b j e c t K e y > < D i a g r a m O b j e c t K e y > < K e y > T a b l e s \ C a n a s t a 2 0 2 4 \ C o l u m n s \ T V   a d i c i o n a l   * * * < / K e y > < / D i a g r a m O b j e c t K e y > < D i a g r a m O b j e c t K e y > < K e y > T a b l e s \ C a n a s t a 2 0 2 4 \ C o l u m n s \ C a r g o   p o r   i n s t a l a c i � n   * * * < / K e y > < / D i a g r a m O b j e c t K e y > < D i a g r a m O b j e c t K e y > < K e y > T a b l e s \ C a n a s t a 2 0 2 4 \ C o l u m n s \ E q u i p o   t e r m i n a l   ( M � d e m / O N T ) * * * < / K e y > < / D i a g r a m O b j e c t K e y > < D i a g r a m O b j e c t K e y > < K e y > T a b l e s \ C a n a s t a 2 0 2 4 \ C o l u m n s \ D e c o d i f i c a d o r   ( d i g i t a l )   * * * < / K e y > < / D i a g r a m O b j e c t K e y > < D i a g r a m O b j e c t K e y > < K e y > T a b l e s \ C a n a s t a 2 0 2 4 \ C o l u m n s \ X v i e w   +   /   X v i e w   * * * < / K e y > < / D i a g r a m O b j e c t K e y > < D i a g r a m O b j e c t K e y > < K e y > T a b l e s \ C a n a s t a 2 0 2 4 \ C o l u m n s \ S e r v i c i o   C l o u d     ( C l o u d   1 ,   C l o u d   2 )   * * * < / K e y > < / D i a g r a m O b j e c t K e y > < D i a g r a m O b j e c t K e y > < K e y > T a b l e s \ C a n a s t a 2 0 2 4 \ C o l u m n s \ M e g a   M � v i l   * * * < / K e y > < / D i a g r a m O b j e c t K e y > < D i a g r a m O b j e c t K e y > < K e y > T a b l e s \ C a n a s t a 2 0 2 4 \ C o l u m n s \ E x t e n s o r   M e s h   * * * < / K e y > < / D i a g r a m O b j e c t K e y > < D i a g r a m O b j e c t K e y > < K e y > T a b l e s \ C a n a s t a 2 0 2 4 \ C o l u m n s \ N o r t o n   S e c u r i t y   * * *   N o r t o n   F a m i l y   * * *   N o r t o n   S e c u r e   V P N   * * * < / K e y > < / D i a g r a m O b j e c t K e y > < D i a g r a m O b j e c t K e y > < K e y > T a b l e s \ C a n a s t a 2 0 2 4 \ C o l u m n s \ F o x   S p o r t   P r e m i u m   * * * * < / K e y > < / D i a g r a m O b j e c t K e y > < D i a g r a m O b j e c t K e y > < K e y > T a b l e s \ C a n a s t a 2 0 2 4 \ C o l u m n s \ N B A   L e a g u e   P a s s   * * * * < / K e y > < / D i a g r a m O b j e c t K e y > < D i a g r a m O b j e c t K e y > < K e y > T a b l e s \ C a n a s t a 2 0 2 4 \ C o l u m n s \ M B L   * * * * < / K e y > < / D i a g r a m O b j e c t K e y > < D i a g r a m O b j e c t K e y > < K e y > T a b l e s \ C a n a s t a 2 0 2 4 \ C o l u m n s \ O t r o s   I n c l u y a   l a s   c o l u m n a s   q u e   s e a n   n e c e s a r i a s < / K e y > < / D i a g r a m O b j e c t K e y > < D i a g r a m O b j e c t K e y > < K e y > T a b l e s \ T a r i f a s 2 0 2 4 < / K e y > < / D i a g r a m O b j e c t K e y > < D i a g r a m O b j e c t K e y > < K e y > T a b l e s \ T a r i f a s 2 0 2 4 \ C o l u m n s \ N o m b r e   d e   P l a n / P a q u e t e < / K e y > < / D i a g r a m O b j e c t K e y > < D i a g r a m O b j e c t K e y > < K e y > T a b l e s \ T a r i f a s 2 0 2 4 \ C o l u m n s \ T i p o * < / K e y > < / D i a g r a m O b j e c t K e y > < D i a g r a m O b j e c t K e y > < K e y > T a b l e s \ T a r i f a s 2 0 2 4 \ C o l u m n s \ T i p o   d e   p a q u e t e   c o n s i d e r a n d o   S T A R   ( s e r v i c i o s   i n c l u i d o s ) * < / K e y > < / D i a g r a m O b j e c t K e y > < D i a g r a m O b j e c t K e y > < K e y > T a b l e s \ T a r i f a s 2 0 2 4 \ C o l u m n s \ E s q u e m a * < / K e y > < / D i a g r a m O b j e c t K e y > < D i a g r a m O b j e c t K e y > < K e y > T a b l e s \ T a r i f a s 2 0 2 4 \ C o l u m n s \ P e r i o d o   d e   p a g o < / K e y > < / D i a g r a m O b j e c t K e y > < D i a g r a m O b j e c t K e y > < K e y > T a b l e s \ T a r i f a s 2 0 2 4 \ C o l u m n s \ E s t a d o < / K e y > < / D i a g r a m O b j e c t K e y > < D i a g r a m O b j e c t K e y > < K e y > T a b l e s \ T a r i f a s 2 0 2 4 \ C o l u m n s \ M u n i c i p i o < / K e y > < / D i a g r a m O b j e c t K e y > < D i a g r a m O b j e c t K e y > < K e y > T a b l e s \ T a r i f a s 2 0 2 4 \ C o l u m n s \ L o c a l i d a d < / K e y > < / D i a g r a m O b j e c t K e y > < D i a g r a m O b j e c t K e y > < K e y > T a b l e s \ T a r i f a s 2 0 2 4 \ C o l u m n s \ F o l i o   R P C < / K e y > < / D i a g r a m O b j e c t K e y > < D i a g r a m O b j e c t K e y > < K e y > T a b l e s \ T a r i f a s 2 0 2 4 \ C o l u m n s \ R e n t a   m e n s u a l   ( s i n   i m p u e s t o s ) < / K e y > < / D i a g r a m O b j e c t K e y > < D i a g r a m O b j e c t K e y > < K e y > T a b l e s \ T a r i f a s 2 0 2 4 \ C o l u m n s \ R e n t a   m e n s u a l     ( c o n   i m p u e s t o s ) < / K e y > < / D i a g r a m O b j e c t K e y > < D i a g r a m O b j e c t K e y > < K e y > T a b l e s \ T a r i f a s 2 0 2 4 \ C o l u m n s \ � T i e n e   p r o m o c i o n e s   a s o c i a d a s   a l   p a q u e t e   q u e   a j u s t e n   l a   t a r i f a   d e   l a   r e n t a   m e n s u a l ?   ( S i / N o ) < / K e y > < / D i a g r a m O b j e c t K e y > < D i a g r a m O b j e c t K e y > < K e y > T a b l e s \ T a r i f a s 2 0 2 4 \ C o l u m n s \ P r o m o c i � n   d e   " D e s c u e n t o   d e   s u   m e n s u a l i d a d "   p o r   u n   p e r i o d o   e s p e c � f i c o < / K e y > < / D i a g r a m O b j e c t K e y > < D i a g r a m O b j e c t K e y > < K e y > T a b l e s \ T a r i f a s 2 0 2 4 \ C o l u m n s \ R e n t a   m e n u s u a l   c o n   t a r i f a   p r o m o c i o n a l   ( s i n   i m p u e s t o s ) < / K e y > < / D i a g r a m O b j e c t K e y > < D i a g r a m O b j e c t K e y > < K e y > T a b l e s \ T a r i f a s 2 0 2 4 \ C o l u m n s \ D u r a c i � n   d e   l a   p r o m o c i � n   ( e n   m e s e s ) < / K e y > < / D i a g r a m O b j e c t K e y > < D i a g r a m O b j e c t K e y > < K e y > T a b l e s \ T a r i f a s 2 0 2 4 \ C o l u m n s \ T � r m i n o s   y   c o n d i c i o n e s < / K e y > < / D i a g r a m O b j e c t K e y > < D i a g r a m O b j e c t K e y > < K e y > T a b l e s \ T a r i f a s 2 0 2 4 \ C o l u m n s \ P r o m o c i � n   p o r   " D o m i c i l i a c i � n "   d e   l a   r e n t a   m e n s u a l < / K e y > < / D i a g r a m O b j e c t K e y > < D i a g r a m O b j e c t K e y > < K e y > T a b l e s \ T a r i f a s 2 0 2 4 \ C o l u m n s \ R e n t a   m e n u s u a l   c o n   t a r i f a   p r o m o c i o n a l   ( s i n   i m p u e s t o s ) 2 < / K e y > < / D i a g r a m O b j e c t K e y > < D i a g r a m O b j e c t K e y > < K e y > T a b l e s \ T a r i f a s 2 0 2 4 \ C o l u m n s \ D u r a c i � n   d e   l a   p r o m o c i � n   ( e n   m e s e s ) 3 < / K e y > < / D i a g r a m O b j e c t K e y > < D i a g r a m O b j e c t K e y > < K e y > T a b l e s \ T a r i f a s 2 0 2 4 \ C o l u m n s \ T � r m i n o s   y   c o n d i c i o n e s 4 < / K e y > < / D i a g r a m O b j e c t K e y > < D i a g r a m O b j e c t K e y > < K e y > T a b l e s \ T a r i f a s 2 0 2 4 \ C o l u m n s \ P r o m o c i � n   p o r   " A n u a l i d a d " < / K e y > < / D i a g r a m O b j e c t K e y > < D i a g r a m O b j e c t K e y > < K e y > T a b l e s \ T a r i f a s 2 0 2 4 \ C o l u m n s \ R e n t a   m e n u s u a l   c o n   t a r i f a   p r o m o c i o n a l   ( s i n   i m p u e s t o s ) 5 < / K e y > < / D i a g r a m O b j e c t K e y > < D i a g r a m O b j e c t K e y > < K e y > T a b l e s \ T a r i f a s 2 0 2 4 \ C o l u m n s \ D u r a c i � n   d e   l a   p r o m o c i � n   ( e n   m e s e s ) 6 < / K e y > < / D i a g r a m O b j e c t K e y > < D i a g r a m O b j e c t K e y > < K e y > T a b l e s \ T a r i f a s 2 0 2 4 \ C o l u m n s \ T � r m i n o s   y   c o n d i c i o n e s 7 < / K e y > < / D i a g r a m O b j e c t K e y > < D i a g r a m O b j e c t K e y > < K e y > T a b l e s \ T a r i f a s 2 0 2 4 \ C o l u m n s \ P r o m o c i � n   p o r   " C l i e n t e   a c t u a l   d e   T V " < / K e y > < / D i a g r a m O b j e c t K e y > < D i a g r a m O b j e c t K e y > < K e y > T a b l e s \ T a r i f a s 2 0 2 4 \ C o l u m n s \ R e n t a   m e n u s u a l   c o n   t a r i f a   p r o m o c i o n a l   ( s i n   i m p u e s t o s ) 8 < / K e y > < / D i a g r a m O b j e c t K e y > < D i a g r a m O b j e c t K e y > < K e y > T a b l e s \ T a r i f a s 2 0 2 4 \ C o l u m n s \ D u r a c i � n   d e   l a   p r o m o c i � n   ( e n   m e s e s ) 9 < / K e y > < / D i a g r a m O b j e c t K e y > < D i a g r a m O b j e c t K e y > < K e y > T a b l e s \ T a r i f a s 2 0 2 4 \ C o l u m n s \ T � r m i n o s   y   c o n d i c i o n e s 1 0 < / K e y > < / D i a g r a m O b j e c t K e y > < D i a g r a m O b j e c t K e y > < K e y > T a b l e s \ T a r i f a s 2 0 2 4 \ C o l u m n s \ � C u e n t a   c o n   i n c e n t i v o s   p r o m o c i o n a l e s   p o r   l a   c o n t r a t a c i � n   d e   a l g � n   s e r v i c i o   O T T   q u e   a j u s t e   e l   m o n t o   d < / K e y > < / D i a g r a m O b j e c t K e y > < D i a g r a m O b j e c t K e y > < K e y > T a b l e s \ T a r i f a s 2 0 2 4 \ C o l u m n s \ T a r i f a   N e t f l i x   E s t � n d a r   c o n   a n u n c i o s   ( s i n   i m p u e s t o s ) < / K e y > < / D i a g r a m O b j e c t K e y > < D i a g r a m O b j e c t K e y > < K e y > T a b l e s \ T a r i f a s 2 0 2 4 \ C o l u m n s \ R e n t a   m e n u s u a l   p r o m o c i o n a l   p o r   l a   c o n t r a t a c i � n   d e l   N e t f l i x   E s t � n d a r   c o n   a n u n c i o s   ( s i n   i m p u e s t o s ) < / K e y > < / D i a g r a m O b j e c t K e y > < D i a g r a m O b j e c t K e y > < K e y > T a b l e s \ T a r i f a s 2 0 2 4 \ C o l u m n s \ T � r m i n o s   y   c o n d i c i o n e s 1 1 < / K e y > < / D i a g r a m O b j e c t K e y > < D i a g r a m O b j e c t K e y > < K e y > T a b l e s \ T a r i f a s 2 0 2 4 \ C o l u m n s \ T a r i f a   N e t f l i x   E s t � n d a r   ( s i n   i m p u e s t o s ) < / K e y > < / D i a g r a m O b j e c t K e y > < D i a g r a m O b j e c t K e y > < K e y > T a b l e s \ T a r i f a s 2 0 2 4 \ C o l u m n s \ R e n t a   m e n u s u a l   p r o m o c i o n a l   p o r   l a   c o n t r a t a c i � n   d e l   N e t f l i x   E s t � n d a r   ( s i n   i m p u e s t o s ) < / K e y > < / D i a g r a m O b j e c t K e y > < D i a g r a m O b j e c t K e y > < K e y > T a b l e s \ T a r i f a s 2 0 2 4 \ C o l u m n s \ T � r m i n o s   y   c o n d i c i o n e s 1 2 < / K e y > < / D i a g r a m O b j e c t K e y > < D i a g r a m O b j e c t K e y > < K e y > T a b l e s \ T a r i f a s 2 0 2 4 \ C o l u m n s \ T a r i f a   N e t f l i x   P r e m i u m   ( s i n   i m p u e s t o s ) < / K e y > < / D i a g r a m O b j e c t K e y > < D i a g r a m O b j e c t K e y > < K e y > T a b l e s \ T a r i f a s 2 0 2 4 \ C o l u m n s \ R e n t a   m e n u s u a l   p r o m o c i o n a l   p o r   l a   c o n t r a t a c i � n   d e l   N e t f l i x   P r e m i u m   ( s i n   i m p u e s t o s ) < / K e y > < / D i a g r a m O b j e c t K e y > < D i a g r a m O b j e c t K e y > < K e y > T a b l e s \ T a r i f a s 2 0 2 4 \ C o l u m n s \ T � r m i n o s   y   c o n d i c i o n e s 1 3 < / K e y > < / D i a g r a m O b j e c t K e y > < D i a g r a m O b j e c t K e y > < K e y > T a b l e s \ T a r i f a s 2 0 2 4 \ C o l u m n s \ T a r i f a   A m a z o n   P r i m e   ( s i n   i m p u e s t o s ) < / K e y > < / D i a g r a m O b j e c t K e y > < D i a g r a m O b j e c t K e y > < K e y > T a b l e s \ T a r i f a s 2 0 2 4 \ C o l u m n s \ R e n t a   m e n u s u a l   p r o m o c i o n a l   p o r   l a   c o n t r a t a c i � n   P r i m e   V i d e o   ( s i n   i m p u e s t o s ) < / K e y > < / D i a g r a m O b j e c t K e y > < D i a g r a m O b j e c t K e y > < K e y > T a b l e s \ T a r i f a s 2 0 2 4 \ C o l u m n s \ T � r m i n o s   y   c o n d i c i o n e s 1 4 < / K e y > < / D i a g r a m O b j e c t K e y > < D i a g r a m O b j e c t K e y > < K e y > T a b l e s \ T a r i f a s 2 0 2 4 \ C o l u m n s \ T a r i f a   m a x     ( s i n   i m p u e s t o s ) < / K e y > < / D i a g r a m O b j e c t K e y > < D i a g r a m O b j e c t K e y > < K e y > T a b l e s \ T a r i f a s 2 0 2 4 \ C o l u m n s \ R e n t a   m e n u s u a l   p r o m o c i o n a l   p o r   l a   c o n t r a t a c i � n   m a x     ( s i n   i m p u e s t o s ) < / K e y > < / D i a g r a m O b j e c t K e y > < D i a g r a m O b j e c t K e y > < K e y > T a b l e s \ T a r i f a s 2 0 2 4 \ C o l u m n s \ T � r m i n o s   y   c o n d i c i o n e s 1 5 < / K e y > < / D i a g r a m O b j e c t K e y > < D i a g r a m O b j e c t K e y > < K e y > T a b l e s \ T a r i f a s 2 0 2 4 \ C o l u m n s \ T a r i f a   P a r a m o u n t   +   ( s i n   i m p u e s t o s ) < / K e y > < / D i a g r a m O b j e c t K e y > < D i a g r a m O b j e c t K e y > < K e y > T a b l e s \ T a r i f a s 2 0 2 4 \ C o l u m n s \ R e n t a   m e n u s u a l   p r o m o c i o n a l   p o r   l a   c o n t r a t a c i � n   P a r a m o u n t   +   ( s i n   i m p u e s t o s ) < / K e y > < / D i a g r a m O b j e c t K e y > < D i a g r a m O b j e c t K e y > < K e y > T a b l e s \ T a r i f a s 2 0 2 4 \ C o l u m n s \ T � r m i n o s   y   c o n d i c i o n e s 1 6 < / K e y > < / D i a g r a m O b j e c t K e y > < D i a g r a m O b j e c t K e y > < K e y > T a b l e s \ T a r i f a s 2 0 2 4 \ C o l u m n s \ T a r i f a   D i s n e y   +     ( s i n   i m p u e s t o s ) < / K e y > < / D i a g r a m O b j e c t K e y > < D i a g r a m O b j e c t K e y > < K e y > T a b l e s \ T a r i f a s 2 0 2 4 \ C o l u m n s \ R e n t a   m e n u s u a l   p r o m o c i o n a l   p o r   l a   c o n t r a t a c i � n   D i s n e y   +     ( s i n   i m p u e s t o s ) < / K e y > < / D i a g r a m O b j e c t K e y > < D i a g r a m O b j e c t K e y > < K e y > T a b l e s \ T a r i f a s 2 0 2 4 \ C o l u m n s \ T � r m i n o s   y   c o n d i c i o n e s 1 7 < / K e y > < / D i a g r a m O b j e c t K e y > < D i a g r a m O b j e c t K e y > < K e y > T a b l e s \ T a r i f a s 2 0 2 4 \ C o l u m n s \ T a r i f a   S t a r   +     ( s i n   i m p u e s t o s ) < / K e y > < / D i a g r a m O b j e c t K e y > < D i a g r a m O b j e c t K e y > < K e y > T a b l e s \ T a r i f a s 2 0 2 4 \ C o l u m n s \ R e n t a   m e n u s u a l   p r o m o c i o n a l   p o r   l a   c o n t r a t a c i � n   S t a r   +     ( s i n   i m p u e s t o s ) < / K e y > < / D i a g r a m O b j e c t K e y > < D i a g r a m O b j e c t K e y > < K e y > T a b l e s \ T a r i f a s 2 0 2 4 \ C o l u m n s \ T � r m i n o s   y   c o n d i c i o n e s 1 8 < / K e y > < / D i a g r a m O b j e c t K e y > < D i a g r a m O b j e c t K e y > < K e y > T a b l e s \ T a r i f a s 2 0 2 4 \ C o l u m n s \ T a r i f a   C o m b o   +   ( s i n   i m p u e s t o s ) < / K e y > < / D i a g r a m O b j e c t K e y > < D i a g r a m O b j e c t K e y > < K e y > T a b l e s \ T a r i f a s 2 0 2 4 \ C o l u m n s \ R e n t a   m e n u s u a l   p r o m o c i o n a l   p o r   l a   c o n t r a t a c i � n   C o m b o   ( s i n   i m p u e s t o s ) < / K e y > < / D i a g r a m O b j e c t K e y > < D i a g r a m O b j e c t K e y > < K e y > T a b l e s \ T a r i f a s 2 0 2 4 \ C o l u m n s \ T � r m i n o s   y   c o n d i c i o n e s 1 9 < / K e y > < / D i a g r a m O b j e c t K e y > < D i a g r a m O b j e c t K e y > < K e y > T a b l e s \ T a r i f a s 2 0 2 4 \ C o l u m n s \ T a r i f a   F o x   S p o r t   P r e m i u m     ( s i n   i m p u e s t o s ) < / K e y > < / D i a g r a m O b j e c t K e y > < D i a g r a m O b j e c t K e y > < K e y > T a b l e s \ T a r i f a s 2 0 2 4 \ C o l u m n s \ R e n t a   m e n u s u a l   p r o m o c i o n a l   p o r   l a   c o n t r a t a c i � n   F o x   S p o r t   P r e m i u m   ( s i n   i m p u e s t o s ) < / K e y > < / D i a g r a m O b j e c t K e y > < D i a g r a m O b j e c t K e y > < K e y > T a b l e s \ T a r i f a s 2 0 2 4 \ C o l u m n s \ T � r m i n o s   y   c o n d i c i o n e s 2 0 < / K e y > < / D i a g r a m O b j e c t K e y > < D i a g r a m O b j e c t K e y > < K e y > T a b l e s \ T a r i f a s 2 0 2 4 \ M e a s u r e s \ S u m a   d e   R e n t a   m e n s u a l   ( s i n   i m p u e s t o s )   2 < / K e y > < / D i a g r a m O b j e c t K e y > < D i a g r a m O b j e c t K e y > < K e y > T a b l e s \ T a r i f a s 2 0 2 4 \ S u m a   d e   R e n t a   m e n s u a l   ( s i n   i m p u e s t o s )   2 \ A d d i t i o n a l   I n f o \ M e d i d a   i m p l � c i t a < / K e y > < / D i a g r a m O b j e c t K e y > < D i a g r a m O b j e c t K e y > < K e y > T a b l e s \ C a n a s t a 2 0 2 3 < / K e y > < / D i a g r a m O b j e c t K e y > < D i a g r a m O b j e c t K e y > < K e y > T a b l e s \ C a n a s t a 2 0 2 3 \ C o l u m n s \ N o m b r e   d e   P l a n / P a q u e t e < / K e y > < / D i a g r a m O b j e c t K e y > < D i a g r a m O b j e c t K e y > < K e y > T a b l e s \ C a n a s t a 2 0 2 3 \ C o l u m n s \ T i p o * < / K e y > < / D i a g r a m O b j e c t K e y > < D i a g r a m O b j e c t K e y > < K e y > T a b l e s \ C a n a s t a 2 0 2 3 \ C o l u m n s \ T i p o   d e   p a q u e t e   c o n s i d e r a n d o   S T A R   ( s e r v i c i o s   i n c l u i d o s ) * < / K e y > < / D i a g r a m O b j e c t K e y > < D i a g r a m O b j e c t K e y > < K e y > T a b l e s \ C a n a s t a 2 0 2 3 \ C o l u m n s \ E s t a d o < / K e y > < / D i a g r a m O b j e c t K e y > < D i a g r a m O b j e c t K e y > < K e y > T a b l e s \ C a n a s t a 2 0 2 3 \ C o l u m n s \ M u n i c i p i o < / K e y > < / D i a g r a m O b j e c t K e y > < D i a g r a m O b j e c t K e y > < K e y > T a b l e s \ C a n a s t a 2 0 2 3 \ C o l u m n s \ L o c a l i d a d < / K e y > < / D i a g r a m O b j e c t K e y > < D i a g r a m O b j e c t K e y > < K e y > T a b l e s \ C a n a s t a 2 0 2 3 \ C o l u m n s \ F o l i o   R P C < / K e y > < / D i a g r a m O b j e c t K e y > < D i a g r a m O b j e c t K e y > < K e y > T a b l e s \ C a n a s t a 2 0 2 3 \ C o l u m n s \ R e n t a   m e n s u a l     ( s i n   i m p u e s t o s ) < / K e y > < / D i a g r a m O b j e c t K e y > < D i a g r a m O b j e c t K e y > < K e y > T a b l e s \ C a n a s t a 2 0 2 3 \ C o l u m n s \ R e n t a   m e n s u a l     ( c o n   i m p u e s t o s ) < / K e y > < / D i a g r a m O b j e c t K e y > < D i a g r a m O b j e c t K e y > < K e y > T a b l e s \ C a n a s t a 2 0 2 3 \ C o l u m n s \ C a n t i d a d   d e   T V   i n c l u i d a s < / K e y > < / D i a g r a m O b j e c t K e y > < D i a g r a m O b j e c t K e y > < K e y > T a b l e s \ C a n a s t a 2 0 2 3 \ C o l u m n s \ E n t r e t e n i m i e n t o < / K e y > < / D i a g r a m O b j e c t K e y > < D i a g r a m O b j e c t K e y > < K e y > T a b l e s \ C a n a s t a 2 0 2 3 \ C o l u m n s \ M � s i c a < / K e y > < / D i a g r a m O b j e c t K e y > < D i a g r a m O b j e c t K e y > < K e y > T a b l e s \ C a n a s t a 2 0 2 3 \ C o l u m n s \ N i � o s / F a m i l i a r < / K e y > < / D i a g r a m O b j e c t K e y > < D i a g r a m O b j e c t K e y > < K e y > T a b l e s \ C a n a s t a 2 0 2 3 \ C o l u m n s \ D o c u m e n t a l e s   /   C u l t u r a l e s < / K e y > < / D i a g r a m O b j e c t K e y > < D i a g r a m O b j e c t K e y > < K e y > T a b l e s \ C a n a s t a 2 0 2 3 \ C o l u m n s \ N a c i o n a l e s < / K e y > < / D i a g r a m O b j e c t K e y > < D i a g r a m O b j e c t K e y > < K e y > T a b l e s \ C a n a s t a 2 0 2 3 \ C o l u m n s \ I n t e r n a c i o n a l e s < / K e y > < / D i a g r a m O b j e c t K e y > < D i a g r a m O b j e c t K e y > < K e y > T a b l e s \ C a n a s t a 2 0 2 3 \ C o l u m n s \ D e p o r t e s < / K e y > < / D i a g r a m O b j e c t K e y > < D i a g r a m O b j e c t K e y > < K e y > T a b l e s \ C a n a s t a 2 0 2 3 \ C o l u m n s \ P e l � c u l a s < / K e y > < / D i a g r a m O b j e c t K e y > < D i a g r a m O b j e c t K e y > < K e y > T a b l e s \ C a n a s t a 2 0 2 3 \ C o l u m n s \ N � m e r o   d e   c a n a l e s   c o n   a l t a   d e f i n i c i � n   ( H D ) < / K e y > < / D i a g r a m O b j e c t K e y > < D i a g r a m O b j e c t K e y > < K e y > T a b l e s \ C a n a s t a 2 0 2 3 \ C o l u m n s \ N � m e r o   d e   c a n a l e s   " S o l o   A u d i o " < / K e y > < / D i a g r a m O b j e c t K e y > < D i a g r a m O b j e c t K e y > < K e y > T a b l e s \ C a n a s t a 2 0 2 3 \ C o l u m n s \ m a x < / K e y > < / D i a g r a m O b j e c t K e y > < D i a g r a m O b j e c t K e y > < K e y > T a b l e s \ C a n a s t a 2 0 2 3 \ C o l u m n s \ p a r a m o u n t   + < / K e y > < / D i a g r a m O b j e c t K e y > < D i a g r a m O b j e c t K e y > < K e y > T a b l e s \ C a n a s t a 2 0 2 3 \ C o l u m n s \ F o x   S p o r t   P r e m i u m < / K e y > < / D i a g r a m O b j e c t K e y > < D i a g r a m O b j e c t K e y > < K e y > T a b l e s \ C a n a s t a 2 0 2 3 \ C o l u m n s \ M L B < / K e y > < / D i a g r a m O b j e c t K e y > < D i a g r a m O b j e c t K e y > < K e y > T a b l e s \ C a n a s t a 2 0 2 3 \ C o l u m n s \ N B A   L e a g u e   P a s s < / K e y > < / D i a g r a m O b j e c t K e y > < D i a g r a m O b j e c t K e y > < K e y > T a b l e s \ C a n a s t a 2 0 2 3 \ C o l u m n s \ A d u l t   P a c k < / K e y > < / D i a g r a m O b j e c t K e y > < D i a g r a m O b j e c t K e y > < K e y > T a b l e s \ C a n a s t a 2 0 2 3 \ C o l u m n s \ o t r o s < / K e y > < / D i a g r a m O b j e c t K e y > < D i a g r a m O b j e c t K e y > < K e y > T a b l e s \ C a n a s t a 2 0 2 3 \ C o l u m n s \ C a n t i d a d   d e   l � n e a s   i n c l u i d a s < / K e y > < / D i a g r a m O b j e c t K e y > < D i a g r a m O b j e c t K e y > < K e y > T a b l e s \ C a n a s t a 2 0 2 3 \ C o l u m n s \ N a c i o n a l e s 2 < / K e y > < / D i a g r a m O b j e c t K e y > < D i a g r a m O b j e c t K e y > < K e y > T a b l e s \ C a n a s t a 2 0 2 3 \ C o l u m n s \ E s t d o s   U n i d o s   y   C a n a d � < / K e y > < / D i a g r a m O b j e c t K e y > < D i a g r a m O b j e c t K e y > < K e y > T a b l e s \ C a n a s t a 2 0 2 3 \ C o l u m n s \ N a c i o n a l e s 3 < / K e y > < / D i a g r a m O b j e c t K e y > < D i a g r a m O b j e c t K e y > < K e y > T a b l e s \ C a n a s t a 2 0 2 3 \ C o l u m n s \ E s t d o s   U n i d o s   y   C a n a d � 4 < / K e y > < / D i a g r a m O b j e c t K e y > < D i a g r a m O b j e c t K e y > < K e y > T a b l e s \ C a n a s t a 2 0 2 3 \ C o l u m n s \ V e l o c i d a d   d e   b a j a d a   o f e r t a d a   ( M b p s ) < / K e y > < / D i a g r a m O b j e c t K e y > < D i a g r a m O b j e c t K e y > < K e y > T a b l e s \ C a n a s t a 2 0 2 3 \ C o l u m n s \ V e l o c i d a d   d e   s u b i d a   o f e r t a d a   ( M b p s ) < / K e y > < / D i a g r a m O b j e c t K e y > < D i a g r a m O b j e c t K e y > < K e y > T a b l e s \ C a n a s t a 2 0 2 3 \ C o l u m n s \ � C u e n t a   c o n   p r o m o c i o n e s   q u e   i n c r e m e n t e n   s u   v e l o c i d a d   a   p a r t i r   d e l   p a g o   d e   l a   m i s m a   r e n t a   m e n s u a l ?   ( S < / K e y > < / D i a g r a m O b j e c t K e y > < D i a g r a m O b j e c t K e y > < K e y > T a b l e s \ C a n a s t a 2 0 2 3 \ C o l u m n s \ D u r a c i � n   d e l   p e r i o d o   d e   t i e m p o   ( e n   m e s e s )   e n   q u e   o f r e c e   l a   p r o m o c i � n   d e   i n c r e m e n t o   d e   v e l o c i d a d < / K e y > < / D i a g r a m O b j e c t K e y > < D i a g r a m O b j e c t K e y > < K e y > T a b l e s \ C a n a s t a 2 0 2 3 \ C o l u m n s \ V e l o c i d a d   d e   s u b i d a   o f e r t a d a   ( M b p s )   c o n   l a   p r o m o c i � n   d e   a u m e n t o   d e   v e l o c i d a d < / K e y > < / D i a g r a m O b j e c t K e y > < D i a g r a m O b j e c t K e y > < K e y > T a b l e s \ C a n a s t a 2 0 2 3 \ C o l u m n s \ V e l o c i d a d   d e   b a j a d a   o f e r t a d a   ( M b p s )   c o n   l a   p r o m o c i � n   d e   a u m e n t o   d e   v e l o c i d a d < / K e y > < / D i a g r a m O b j e c t K e y > < D i a g r a m O b j e c t K e y > < K e y > T a b l e s \ C a n a s t a 2 0 2 3 \ C o l u m n s \ V e l o c i d a d   d e   s u b i d a   o f e r t a d a   ( M b p s )   c o n   l a   p r o m o c i � n   d e   a u m e n t o   d e   v e l o c i d a d 5 < / K e y > < / D i a g r a m O b j e c t K e y > < D i a g r a m O b j e c t K e y > < K e y > T a b l e s \ C a n a s t a 2 0 2 3 \ C o l u m n s \ V e l o c i d a d   d e   b a j a d a   o f e r t a d a   ( M b p s )   c o n   l a   p r o m o c i � n   d e   a u m e n t o   d e   v e l o c i d a d 6 < / K e y > < / D i a g r a m O b j e c t K e y > < D i a g r a m O b j e c t K e y > < K e y > T a b l e s \ C a n a s t a 2 0 2 3 \ C o l u m n s \ V e l o c i d a d   d e   s u b i d a   o f e r t a d a   ( M b p s )   c o n   l a   p r o m o c i � n   d e   a u m e n t o   d e   v e l o c i d a d 7 < / K e y > < / D i a g r a m O b j e c t K e y > < D i a g r a m O b j e c t K e y > < K e y > T a b l e s \ C a n a s t a 2 0 2 3 \ C o l u m n s \ � C u e n t a   c o n   p r o m o c i o n e s   q u e   v u e l v a n   s u   v e l o c i d a d   s i m � t r i c a   p a r t i r   d e l   p a g o   d e   l a   m i s m a   r e n t a   m e n s u a l < / K e y > < / D i a g r a m O b j e c t K e y > < D i a g r a m O b j e c t K e y > < K e y > T a b l e s \ C a n a s t a 2 0 2 3 \ C o l u m n s \ D u r a c i � n   d e l   p e r i o d o   d e   t i e m p o   ( e n   m e s e s )   e n   q u e   o f r e c e   l a   p r o m o c i � n   d e   s i m e t r � a   e n   l a   v e l o c i d a d < / K e y > < / D i a g r a m O b j e c t K e y > < D i a g r a m O b j e c t K e y > < K e y > T a b l e s \ C a n a s t a 2 0 2 3 \ C o l u m n s \ � I n c l u y e   P a r a m o u n t   + ? < / K e y > < / D i a g r a m O b j e c t K e y > < D i a g r a m O b j e c t K e y > < K e y > T a b l e s \ C a n a s t a 2 0 2 3 \ C o l u m n s \ T � r m i n o s   y   c o n d i c i o n e s   d e l   s e r v i c i o * * < / K e y > < / D i a g r a m O b j e c t K e y > < D i a g r a m O b j e c t K e y > < K e y > T a b l e s \ C a n a s t a 2 0 2 3 \ C o l u m n s \ D u r a c i � n   d e l   p e r i o d o   d e   t i e m p o   ( e n   m e s e s )   e n   q u e   o f r e c e   a   l o s   u s u a r i o s   f i n a l e s   e l   s e r v i c i o   d e   P a r a m o < / K e y > < / D i a g r a m O b j e c t K e y > < D i a g r a m O b j e c t K e y > < K e y > T a b l e s \ C a n a s t a 2 0 2 3 \ C o l u m n s \ � I n c l u y e   m a x ? < / K e y > < / D i a g r a m O b j e c t K e y > < D i a g r a m O b j e c t K e y > < K e y > T a b l e s \ C a n a s t a 2 0 2 3 \ C o l u m n s \ T � r m i n o s   y   c o n d i c i o n e s   d e l   s e r v i c i o * * 8 < / K e y > < / D i a g r a m O b j e c t K e y > < D i a g r a m O b j e c t K e y > < K e y > T a b l e s \ C a n a s t a 2 0 2 3 \ C o l u m n s \ D u r a c i � n   d e l   p e r i o d o   d e   t i e m p o   ( e n   m e s e s )   e n   q u e   o f r e c e   a   l o s   u s u a r i o s   f i n a l e s   e l   s e r v i c i o   d e   m a x   s i < / K e y > < / D i a g r a m O b j e c t K e y > < D i a g r a m O b j e c t K e y > < K e y > T a b l e s \ C a n a s t a 2 0 2 3 \ C o l u m n s \ � I n c l u y e   m a x ?   9 < / K e y > < / D i a g r a m O b j e c t K e y > < D i a g r a m O b j e c t K e y > < K e y > T a b l e s \ C a n a s t a 2 0 2 3 \ C o l u m n s \ T � r m i n o s   y   c o n d i c i o n e s   d e l   s e r v i c i o * * 1 0 < / K e y > < / D i a g r a m O b j e c t K e y > < D i a g r a m O b j e c t K e y > < K e y > T a b l e s \ C a n a s t a 2 0 2 3 \ C o l u m n s \ D u r a c i � n   d e l   p e r i o d o   d e   t i e m p o   ( e n   m e s e s )   e n   q u e   o f r e c e   a   l o s   u s u a r i o s   f i n a l e s   e l   s e r v i c i o   d e   m a x     2 < / K e y > < / D i a g r a m O b j e c t K e y > < D i a g r a m O b j e c t K e y > < K e y > T a b l e s \ C a n a s t a 2 0 2 3 \ C o l u m n s \ C a n t i d a d   d e   s e r v i c i o s   a d i c i o n a l e s   i n c l u i d o s < / K e y > < / D i a g r a m O b j e c t K e y > < D i a g r a m O b j e c t K e y > < K e y > T a b l e s \ C a n a s t a 2 0 2 3 \ C o l u m n s \ N o m b r e   d e   l o s   s e r v i c i o s   a d i c i o n a l e s   i n c l u i d o s   ( p o r   e j e m p l o   (   I d e n t i f i c a d o r   d e   l l a m a d a s ,   D e s v i o   d e   l l < / K e y > < / D i a g r a m O b j e c t K e y > < D i a g r a m O b j e c t K e y > < K e y > T a b l e s \ C a n a s t a 2 0 2 3 \ C o l u m n s \ T V   a d i c i o n a l   * * * < / K e y > < / D i a g r a m O b j e c t K e y > < D i a g r a m O b j e c t K e y > < K e y > T a b l e s \ C a n a s t a 2 0 2 3 \ C o l u m n s \ C a r g o   p o r   i n s t a l a c i � n   * * * < / K e y > < / D i a g r a m O b j e c t K e y > < D i a g r a m O b j e c t K e y > < K e y > T a b l e s \ C a n a s t a 2 0 2 3 \ C o l u m n s \ E q u i p o   t e r m i n a l   ( M � d e m / O N T ) * * * < / K e y > < / D i a g r a m O b j e c t K e y > < D i a g r a m O b j e c t K e y > < K e y > T a b l e s \ C a n a s t a 2 0 2 3 \ C o l u m n s \ D e c o d i f i c a d o r   ( d i g i t a l )   * * * < / K e y > < / D i a g r a m O b j e c t K e y > < D i a g r a m O b j e c t K e y > < K e y > T a b l e s \ C a n a s t a 2 0 2 3 \ C o l u m n s \ X v i e w   +   /   X v i e w   * * * < / K e y > < / D i a g r a m O b j e c t K e y > < D i a g r a m O b j e c t K e y > < K e y > T a b l e s \ C a n a s t a 2 0 2 3 \ C o l u m n s \ S e r v i c i o   C l o u d     ( C l o u d   1 ,   C l o u d   2 )   * * * < / K e y > < / D i a g r a m O b j e c t K e y > < D i a g r a m O b j e c t K e y > < K e y > T a b l e s \ C a n a s t a 2 0 2 3 \ C o l u m n s \ M e g a   M � v i l   * * * < / K e y > < / D i a g r a m O b j e c t K e y > < D i a g r a m O b j e c t K e y > < K e y > T a b l e s \ C a n a s t a 2 0 2 3 \ C o l u m n s \ E x t e n s o r   M e s h   * * * < / K e y > < / D i a g r a m O b j e c t K e y > < D i a g r a m O b j e c t K e y > < K e y > T a b l e s \ C a n a s t a 2 0 2 3 \ C o l u m n s \ N o r t o n   S e c u r i t y   * * *   N o r t o n   F a m i l y   * * *   N o r t o n   S e c u r e   V P N   * * * < / K e y > < / D i a g r a m O b j e c t K e y > < D i a g r a m O b j e c t K e y > < K e y > T a b l e s \ C a n a s t a 2 0 2 3 \ C o l u m n s \ F o x   S p o r t   P r e m i u m   * * * * < / K e y > < / D i a g r a m O b j e c t K e y > < D i a g r a m O b j e c t K e y > < K e y > T a b l e s \ C a n a s t a 2 0 2 3 \ C o l u m n s \ N B A   L e a g u e   P a s s   * * * * < / K e y > < / D i a g r a m O b j e c t K e y > < D i a g r a m O b j e c t K e y > < K e y > T a b l e s \ C a n a s t a 2 0 2 3 \ C o l u m n s \ M B L   * * * * < / K e y > < / D i a g r a m O b j e c t K e y > < D i a g r a m O b j e c t K e y > < K e y > T a b l e s \ C a n a s t a 2 0 2 3 \ C o l u m n s \ O t r o s   I n c l u y a   l a s   c o l u m n a s   q u e   s e a n   n e c e s a r i a s < / K e y > < / D i a g r a m O b j e c t K e y > < D i a g r a m O b j e c t K e y > < K e y > T a b l e s \ S u s c r i p t o r e s a < / K e y > < / D i a g r a m O b j e c t K e y > < D i a g r a m O b j e c t K e y > < K e y > T a b l e s \ S u s c r i p t o r e s a \ C o l u m n s \ N o m b r e   d e   P l a n / P a q u e t e < / K e y > < / D i a g r a m O b j e c t K e y > < D i a g r a m O b j e c t K e y > < K e y > T a b l e s \ S u s c r i p t o r e s a \ C o l u m n s \ T i p o * < / K e y > < / D i a g r a m O b j e c t K e y > < D i a g r a m O b j e c t K e y > < K e y > T a b l e s \ S u s c r i p t o r e s a \ C o l u m n s \ T i p o   d e   p a q u e t e   c o n s i d e r a n d o   S T A R   ( s e r v i c i o s   i n c l u i d o s ) * < / K e y > < / D i a g r a m O b j e c t K e y > < D i a g r a m O b j e c t K e y > < K e y > T a b l e s \ S u s c r i p t o r e s a \ C o l u m n s \ E s t a d o < / K e y > < / D i a g r a m O b j e c t K e y > < D i a g r a m O b j e c t K e y > < K e y > T a b l e s \ S u s c r i p t o r e s a \ C o l u m n s \ M u n i c i p i o < / K e y > < / D i a g r a m O b j e c t K e y > < D i a g r a m O b j e c t K e y > < K e y > T a b l e s \ S u s c r i p t o r e s a \ C o l u m n s \ L o c a l i d a d < / K e y > < / D i a g r a m O b j e c t K e y > < D i a g r a m O b j e c t K e y > < K e y > T a b l e s \ S u s c r i p t o r e s a \ C o l u m n s \ d i c i e m b r e   2 0 2 3 < / K e y > < / D i a g r a m O b j e c t K e y > < D i a g r a m O b j e c t K e y > < K e y > T a b l e s \ S u s c r i p t o r e s a \ C o l u m n s \ N o m b r e   d e   P l a n / P a q u e t e 2 < / K e y > < / D i a g r a m O b j e c t K e y > < D i a g r a m O b j e c t K e y > < K e y > T a b l e s \ S u s c r i p t o r e s a \ C o l u m n s \ T i p o * 3 < / K e y > < / D i a g r a m O b j e c t K e y > < D i a g r a m O b j e c t K e y > < K e y > T a b l e s \ S u s c r i p t o r e s a \ C o l u m n s \ T i p o   d e   p a q u e t e   c o n s i d e r a n d o   S T A R   ( s e r v i c i o s   i n c l u i d o s ) * 4 < / K e y > < / D i a g r a m O b j e c t K e y > < D i a g r a m O b j e c t K e y > < K e y > T a b l e s \ S u s c r i p t o r e s a \ C o l u m n s \ E s t a d o 5 < / K e y > < / D i a g r a m O b j e c t K e y > < D i a g r a m O b j e c t K e y > < K e y > T a b l e s \ S u s c r i p t o r e s a \ C o l u m n s \ M u n i c i p i o 6 < / K e y > < / D i a g r a m O b j e c t K e y > < D i a g r a m O b j e c t K e y > < K e y > T a b l e s \ S u s c r i p t o r e s a \ C o l u m n s \ L o c a l i d a d 7 < / K e y > < / D i a g r a m O b j e c t K e y > < D i a g r a m O b j e c t K e y > < K e y > T a b l e s \ S u s c r i p t o r e s a \ C o l u m n s \ m a y o   2 0 2 4 < / K e y > < / D i a g r a m O b j e c t K e y > < D i a g r a m O b j e c t K e y > < K e y > T a b l e s \ S u s c r i p t o r e s b < / K e y > < / D i a g r a m O b j e c t K e y > < D i a g r a m O b j e c t K e y > < K e y > T a b l e s \ S u s c r i p t o r e s b \ C o l u m n s \ N o m b r e   d e   P l a n / P a q u e t e < / K e y > < / D i a g r a m O b j e c t K e y > < D i a g r a m O b j e c t K e y > < K e y > T a b l e s \ S u s c r i p t o r e s b \ C o l u m n s \ T i p o * < / K e y > < / D i a g r a m O b j e c t K e y > < D i a g r a m O b j e c t K e y > < K e y > T a b l e s \ S u s c r i p t o r e s b \ C o l u m n s \ E s t a d o < / K e y > < / D i a g r a m O b j e c t K e y > < D i a g r a m O b j e c t K e y > < K e y > T a b l e s \ S u s c r i p t o r e s b \ C o l u m n s \ M u n i c i p i o < / K e y > < / D i a g r a m O b j e c t K e y > < D i a g r a m O b j e c t K e y > < K e y > T a b l e s \ S u s c r i p t o r e s b \ C o l u m n s \ L o c a l i d a d < / K e y > < / D i a g r a m O b j e c t K e y > < D i a g r a m O b j e c t K e y > < K e y > T a b l e s \ S u s c r i p t o r e s b \ C o l u m n s \ d i c i e m b r e   2 0 2 3 < / K e y > < / D i a g r a m O b j e c t K e y > < D i a g r a m O b j e c t K e y > < K e y > T a b l e s \ S u s c r i p t o r e s b \ C o l u m n s \ N o m b r e   d e   P l a n / P a q u e t e 2 < / K e y > < / D i a g r a m O b j e c t K e y > < D i a g r a m O b j e c t K e y > < K e y > T a b l e s \ S u s c r i p t o r e s b \ C o l u m n s \ T i p o * 3 < / K e y > < / D i a g r a m O b j e c t K e y > < D i a g r a m O b j e c t K e y > < K e y > T a b l e s \ S u s c r i p t o r e s b \ C o l u m n s \ E s t a d o 4 < / K e y > < / D i a g r a m O b j e c t K e y > < D i a g r a m O b j e c t K e y > < K e y > T a b l e s \ S u s c r i p t o r e s b \ C o l u m n s \ M u n i c i p i o 5 < / K e y > < / D i a g r a m O b j e c t K e y > < D i a g r a m O b j e c t K e y > < K e y > T a b l e s \ S u s c r i p t o r e s b \ C o l u m n s \ L o c a l i d a d 6 < / K e y > < / D i a g r a m O b j e c t K e y > < D i a g r a m O b j e c t K e y > < K e y > T a b l e s \ S u s c r i p t o r e s b \ C o l u m n s \ m a y o   2 0 2 4 < / K e y > < / D i a g r a m O b j e c t K e y > < D i a g r a m O b j e c t K e y > < K e y > T a b l e s \ S u s c r i p t o r e s c < / K e y > < / D i a g r a m O b j e c t K e y > < D i a g r a m O b j e c t K e y > < K e y > T a b l e s \ S u s c r i p t o r e s c \ C o l u m n s \ N o m b r e   d e   P l a n / P a q u e t e < / K e y > < / D i a g r a m O b j e c t K e y > < D i a g r a m O b j e c t K e y > < K e y > T a b l e s \ S u s c r i p t o r e s c \ C o l u m n s \ T i p o * < / K e y > < / D i a g r a m O b j e c t K e y > < D i a g r a m O b j e c t K e y > < K e y > T a b l e s \ S u s c r i p t o r e s c \ C o l u m n s \ T i p o   d e   p a q u e t e   c o n s i d e r a n d o   S T A R   ( s e r v i c i o s   i n c l u i d o s ) * < / K e y > < / D i a g r a m O b j e c t K e y > < D i a g r a m O b j e c t K e y > < K e y > T a b l e s \ S u s c r i p t o r e s c \ C o l u m n s \ E s t a d o < / K e y > < / D i a g r a m O b j e c t K e y > < D i a g r a m O b j e c t K e y > < K e y > T a b l e s \ S u s c r i p t o r e s c \ C o l u m n s \ M u n i c i p i o < / K e y > < / D i a g r a m O b j e c t K e y > < D i a g r a m O b j e c t K e y > < K e y > T a b l e s \ S u s c r i p t o r e s c \ C o l u m n s \ L o c a l i d a d < / K e y > < / D i a g r a m O b j e c t K e y > < D i a g r a m O b j e c t K e y > < K e y > T a b l e s \ S u s c r i p t o r e s c \ C o l u m n s \ F i b r a   � p t i c a     2 0 2 3 < / K e y > < / D i a g r a m O b j e c t K e y > < D i a g r a m O b j e c t K e y > < K e y > T a b l e s \ S u s c r i p t o r e s c \ C o l u m n s \ C a b l e   C o a x i a l   2 0 2 3 < / K e y > < / D i a g r a m O b j e c t K e y > < D i a g r a m O b j e c t K e y > < K e y > T a b l e s \ S u s c r i p t o r e s c \ C o l u m n s \ S a t e l i t a l e s     ( D i r e c t   T o   H o m e   o   D T H ) < / K e y > < / D i a g r a m O b j e c t K e y > < D i a g r a m O b j e c t K e y > < K e y > T a b l e s \ S u s c r i p t o r e s c \ C o l u m n s \ O t r a s   t e c n o l o g � a s   [ S e � a l e   e l   t i p o   d e   c o n f i g u r a c i � n   d e   r e d ] < / K e y > < / D i a g r a m O b j e c t K e y > < D i a g r a m O b j e c t K e y > < K e y > T a b l e s \ S u s c r i p t o r e s c \ C o l u m n s \ F i b r a   � p t i c a   2 0 2 4 < / K e y > < / D i a g r a m O b j e c t K e y > < D i a g r a m O b j e c t K e y > < K e y > T a b l e s \ S u s c r i p t o r e s c \ C o l u m n s \ C a b l e   C o a x i a l   2 0 2 4 < / K e y > < / D i a g r a m O b j e c t K e y > < D i a g r a m O b j e c t K e y > < K e y > R e l a t i o n s h i p s \ & l t ; T a b l e s \ T a r i f a s 2 0 2 3 \ C o l u m n s \ F o l i o   R P C & g t ; - & l t ; T a b l e s \ C a n a s t a 2 0 2 4 \ C o l u m n s \ F o l i o   R P C & g t ; < / K e y > < / D i a g r a m O b j e c t K e y > < D i a g r a m O b j e c t K e y > < K e y > R e l a t i o n s h i p s \ & l t ; T a b l e s \ T a r i f a s 2 0 2 3 \ C o l u m n s \ F o l i o   R P C & g t ; - & l t ; T a b l e s \ C a n a s t a 2 0 2 4 \ C o l u m n s \ F o l i o   R P C & g t ; \ F K < / K e y > < / D i a g r a m O b j e c t K e y > < D i a g r a m O b j e c t K e y > < K e y > R e l a t i o n s h i p s \ & l t ; T a b l e s \ T a r i f a s 2 0 2 3 \ C o l u m n s \ F o l i o   R P C & g t ; - & l t ; T a b l e s \ C a n a s t a 2 0 2 4 \ C o l u m n s \ F o l i o   R P C & g t ; \ P K < / K e y > < / D i a g r a m O b j e c t K e y > < D i a g r a m O b j e c t K e y > < K e y > R e l a t i o n s h i p s \ & l t ; T a b l e s \ T a r i f a s 2 0 2 3 \ C o l u m n s \ F o l i o   R P C & g t ; - & l t ; T a b l e s \ C a n a s t a 2 0 2 4 \ C o l u m n s \ F o l i o   R P C & g t ; \ C r o s s F i l t e r < / K e y > < / D i a g r a m O b j e c t K e y > < D i a g r a m O b j e c t K e y > < K e y > R e l a t i o n s h i p s \ & l t ; T a b l e s \ T a r i f a s 2 0 2 3 \ C o l u m n s \ F o l i o   R P C & g t ; - & l t ; T a b l e s \ T a r i f a s 2 0 2 4 \ C o l u m n s \ F o l i o   R P C & g t ; < / K e y > < / D i a g r a m O b j e c t K e y > < D i a g r a m O b j e c t K e y > < K e y > R e l a t i o n s h i p s \ & l t ; T a b l e s \ T a r i f a s 2 0 2 3 \ C o l u m n s \ F o l i o   R P C & g t ; - & l t ; T a b l e s \ T a r i f a s 2 0 2 4 \ C o l u m n s \ F o l i o   R P C & g t ; \ F K < / K e y > < / D i a g r a m O b j e c t K e y > < D i a g r a m O b j e c t K e y > < K e y > R e l a t i o n s h i p s \ & l t ; T a b l e s \ T a r i f a s 2 0 2 3 \ C o l u m n s \ F o l i o   R P C & g t ; - & l t ; T a b l e s \ T a r i f a s 2 0 2 4 \ C o l u m n s \ F o l i o   R P C & g t ; \ P K < / K e y > < / D i a g r a m O b j e c t K e y > < D i a g r a m O b j e c t K e y > < K e y > R e l a t i o n s h i p s \ & l t ; T a b l e s \ T a r i f a s 2 0 2 3 \ C o l u m n s \ F o l i o   R P C & g t ; - & l t ; T a b l e s \ T a r i f a s 2 0 2 4 \ C o l u m n s \ F o l i o   R P C & g t ; \ C r o s s F i l t e r < / K e y > < / D i a g r a m O b j e c t K e y > < D i a g r a m O b j e c t K e y > < K e y > R e l a t i o n s h i p s \ & l t ; T a b l e s \ C a n a s t a 2 0 2 4 \ C o l u m n s \ F o l i o   R P C & g t ; - & l t ; T a b l e s \ C a n a s t a 2 0 2 3 \ C o l u m n s \ F o l i o   R P C & g t ; < / K e y > < / D i a g r a m O b j e c t K e y > < D i a g r a m O b j e c t K e y > < K e y > R e l a t i o n s h i p s \ & l t ; T a b l e s \ C a n a s t a 2 0 2 4 \ C o l u m n s \ F o l i o   R P C & g t ; - & l t ; T a b l e s \ C a n a s t a 2 0 2 3 \ C o l u m n s \ F o l i o   R P C & g t ; \ F K < / K e y > < / D i a g r a m O b j e c t K e y > < D i a g r a m O b j e c t K e y > < K e y > R e l a t i o n s h i p s \ & l t ; T a b l e s \ C a n a s t a 2 0 2 4 \ C o l u m n s \ F o l i o   R P C & g t ; - & l t ; T a b l e s \ C a n a s t a 2 0 2 3 \ C o l u m n s \ F o l i o   R P C & g t ; \ P K < / K e y > < / D i a g r a m O b j e c t K e y > < D i a g r a m O b j e c t K e y > < K e y > R e l a t i o n s h i p s \ & l t ; T a b l e s \ C a n a s t a 2 0 2 4 \ C o l u m n s \ F o l i o   R P C & g t ; - & l t ; T a b l e s \ C a n a s t a 2 0 2 3 \ C o l u m n s \ F o l i o   R P C & g t ; \ C r o s s F i l t e r < / K e y > < / D i a g r a m O b j e c t K e y > < / A l l K e y s > < S e l e c t e d K e y s > < D i a g r a m O b j e c t K e y > < K e y > T a b l e s \ S u s c r i p t o r e s a \ C o l u m n s \ L o c a l i d a d < / 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 T a g s \ T a b l e s \ & l t ; T a b l e s \ T a r i f a s 2 0 2 3 & g t ; < / K e y > < / a : K e y > < a : V a l u e   i : t y p e = " D i a g r a m D i s p l a y T a g V i e w S t a t e " > < I s N o t F i l t e r e d O u t > t r u e < / I s N o t F i l t e r e d O u t > < / a : V a l u e > < / a : K e y V a l u e O f D i a g r a m O b j e c t K e y a n y T y p e z b w N T n L X > < a : K e y V a l u e O f D i a g r a m O b j e c t K e y a n y T y p e z b w N T n L X > < a : K e y > < K e y > D y n a m i c   T a g s \ T a b l e s \ & l t ; T a b l e s \ C a n a s t a 2 0 2 4 & g t ; < / K e y > < / a : K e y > < a : V a l u e   i : t y p e = " D i a g r a m D i s p l a y T a g V i e w S t a t e " > < I s N o t F i l t e r e d O u t > t r u e < / I s N o t F i l t e r e d O u t > < / a : V a l u e > < / a : K e y V a l u e O f D i a g r a m O b j e c t K e y a n y T y p e z b w N T n L X > < a : K e y V a l u e O f D i a g r a m O b j e c t K e y a n y T y p e z b w N T n L X > < a : K e y > < K e y > D y n a m i c   T a g s \ T a b l e s \ & l t ; T a b l e s \ T a r i f a s 2 0 2 4 & g t ; < / K e y > < / a : K e y > < a : V a l u e   i : t y p e = " D i a g r a m D i s p l a y T a g V i e w S t a t e " > < I s N o t F i l t e r e d O u t > t r u e < / I s N o t F i l t e r e d O u t > < / a : V a l u e > < / a : K e y V a l u e O f D i a g r a m O b j e c t K e y a n y T y p e z b w N T n L X > < a : K e y V a l u e O f D i a g r a m O b j e c t K e y a n y T y p e z b w N T n L X > < a : K e y > < K e y > D y n a m i c   T a g s \ T a b l e s \ & l t ; T a b l e s \ C a n a s t a 2 0 2 3 & g t ; < / K e y > < / a : K e y > < a : V a l u e   i : t y p e = " D i a g r a m D i s p l a y T a g V i e w S t a t e " > < I s N o t F i l t e r e d O u t > t r u e < / I s N o t F i l t e r e d O u t > < / a : V a l u e > < / a : K e y V a l u e O f D i a g r a m O b j e c t K e y a n y T y p e z b w N T n L X > < a : K e y V a l u e O f D i a g r a m O b j e c t K e y a n y T y p e z b w N T n L X > < a : K e y > < K e y > D y n a m i c   T a g s \ T a b l e s \ & l t ; T a b l e s \ S u s c r i p t o r e s a & g t ; < / K e y > < / a : K e y > < a : V a l u e   i : t y p e = " D i a g r a m D i s p l a y T a g V i e w S t a t e " > < I s N o t F i l t e r e d O u t > t r u e < / I s N o t F i l t e r e d O u t > < / a : V a l u e > < / a : K e y V a l u e O f D i a g r a m O b j e c t K e y a n y T y p e z b w N T n L X > < a : K e y V a l u e O f D i a g r a m O b j e c t K e y a n y T y p e z b w N T n L X > < a : K e y > < K e y > D y n a m i c   T a g s \ T a b l e s \ & l t ; T a b l e s \ S u s c r i p t o r e s b & g t ; < / K e y > < / a : K e y > < a : V a l u e   i : t y p e = " D i a g r a m D i s p l a y T a g V i e w S t a t e " > < I s N o t F i l t e r e d O u t > t r u e < / I s N o t F i l t e r e d O u t > < / a : V a l u e > < / a : K e y V a l u e O f D i a g r a m O b j e c t K e y a n y T y p e z b w N T n L X > < a : K e y V a l u e O f D i a g r a m O b j e c t K e y a n y T y p e z b w N T n L X > < a : K e y > < K e y > D y n a m i c   T a g s \ T a b l e s \ & l t ; T a b l e s \ S u s c r i p t o r e s c & g t ; < / K e y > < / a : K e y > < a : V a l u e   i : t y p e = " D i a g r a m D i s p l a y T a g V i e w S t a t e " > < I s N o t F i l t e r e d O u t > t r u e < / I s N o t F i l t e r e d O u t > < / a : V a l u e > < / a : K e y V a l u e O f D i a g r a m O b j e c t K e y a n y T y p e z b w N T n L X > < a : K e y V a l u e O f D i a g r a m O b j e c t K e y a n y T y p e z b w N T n L X > < a : K e y > < K e y > T a b l e s \ T a r i f a s 2 0 2 3 < / K e y > < / a : K e y > < a : V a l u e   i : t y p e = " D i a g r a m D i s p l a y N o d e V i e w S t a t e " > < H e i g h t > 1 4 9 5 < / H e i g h t > < I s E x p a n d e d > t r u e < / I s E x p a n d e d > < L a y e d O u t > t r u e < / L a y e d O u t > < W i d t h > 2 0 7 < / W i d t h > < / a : V a l u e > < / a : K e y V a l u e O f D i a g r a m O b j e c t K e y a n y T y p e z b w N T n L X > < a : K e y V a l u e O f D i a g r a m O b j e c t K e y a n y T y p e z b w N T n L X > < a : K e y > < K e y > T a b l e s \ T a r i f a s 2 0 2 3 \ C o l u m n s \ N o m b r e   d e   P l a n / P a q u e t e < / K e y > < / a : K e y > < a : V a l u e   i : t y p e = " D i a g r a m D i s p l a y N o d e V i e w S t a t e " > < H e i g h t > 1 5 0 < / H e i g h t > < I s E x p a n d e d > t r u e < / I s E x p a n d e d > < W i d t h > 2 0 0 < / W i d t h > < / a : V a l u e > < / a : K e y V a l u e O f D i a g r a m O b j e c t K e y a n y T y p e z b w N T n L X > < a : K e y V a l u e O f D i a g r a m O b j e c t K e y a n y T y p e z b w N T n L X > < a : K e y > < K e y > T a b l e s \ T a r i f a s 2 0 2 3 \ C o l u m n s \ T i p o * < / K e y > < / a : K e y > < a : V a l u e   i : t y p e = " D i a g r a m D i s p l a y N o d e V i e w S t a t e " > < H e i g h t > 1 5 0 < / H e i g h t > < I s E x p a n d e d > t r u e < / I s E x p a n d e d > < W i d t h > 2 0 0 < / W i d t h > < / a : V a l u e > < / a : K e y V a l u e O f D i a g r a m O b j e c t K e y a n y T y p e z b w N T n L X > < a : K e y V a l u e O f D i a g r a m O b j e c t K e y a n y T y p e z b w N T n L X > < a : K e y > < K e y > T a b l e s \ T a r i f a s 2 0 2 3 \ C o l u m n s \ T i p o   d e   p a q u e t e   c o n s i d e r a n d o   S T A R   ( s e r v i c i o s   i n c l u i d o s ) * < / K e y > < / a : K e y > < a : V a l u e   i : t y p e = " D i a g r a m D i s p l a y N o d e V i e w S t a t e " > < H e i g h t > 1 5 0 < / H e i g h t > < I s E x p a n d e d > t r u e < / I s E x p a n d e d > < W i d t h > 2 0 0 < / W i d t h > < / a : V a l u e > < / a : K e y V a l u e O f D i a g r a m O b j e c t K e y a n y T y p e z b w N T n L X > < a : K e y V a l u e O f D i a g r a m O b j e c t K e y a n y T y p e z b w N T n L X > < a : K e y > < K e y > T a b l e s \ T a r i f a s 2 0 2 3 \ C o l u m n s \ E s q u e m a * < / K e y > < / a : K e y > < a : V a l u e   i : t y p e = " D i a g r a m D i s p l a y N o d e V i e w S t a t e " > < H e i g h t > 1 5 0 < / H e i g h t > < I s E x p a n d e d > t r u e < / I s E x p a n d e d > < W i d t h > 2 0 0 < / W i d t h > < / a : V a l u e > < / a : K e y V a l u e O f D i a g r a m O b j e c t K e y a n y T y p e z b w N T n L X > < a : K e y V a l u e O f D i a g r a m O b j e c t K e y a n y T y p e z b w N T n L X > < a : K e y > < K e y > T a b l e s \ T a r i f a s 2 0 2 3 \ C o l u m n s \ P e r i o d o   d e   p a g o < / K e y > < / a : K e y > < a : V a l u e   i : t y p e = " D i a g r a m D i s p l a y N o d e V i e w S t a t e " > < H e i g h t > 1 5 0 < / H e i g h t > < I s E x p a n d e d > t r u e < / I s E x p a n d e d > < W i d t h > 2 0 0 < / W i d t h > < / a : V a l u e > < / a : K e y V a l u e O f D i a g r a m O b j e c t K e y a n y T y p e z b w N T n L X > < a : K e y V a l u e O f D i a g r a m O b j e c t K e y a n y T y p e z b w N T n L X > < a : K e y > < K e y > T a b l e s \ T a r i f a s 2 0 2 3 \ C o l u m n s \ E s t a d o < / K e y > < / a : K e y > < a : V a l u e   i : t y p e = " D i a g r a m D i s p l a y N o d e V i e w S t a t e " > < H e i g h t > 1 5 0 < / H e i g h t > < I s E x p a n d e d > t r u e < / I s E x p a n d e d > < W i d t h > 2 0 0 < / W i d t h > < / a : V a l u e > < / a : K e y V a l u e O f D i a g r a m O b j e c t K e y a n y T y p e z b w N T n L X > < a : K e y V a l u e O f D i a g r a m O b j e c t K e y a n y T y p e z b w N T n L X > < a : K e y > < K e y > T a b l e s \ T a r i f a s 2 0 2 3 \ C o l u m n s \ M u n i c i p i o < / K e y > < / a : K e y > < a : V a l u e   i : t y p e = " D i a g r a m D i s p l a y N o d e V i e w S t a t e " > < H e i g h t > 1 5 0 < / H e i g h t > < I s E x p a n d e d > t r u e < / I s E x p a n d e d > < W i d t h > 2 0 0 < / W i d t h > < / a : V a l u e > < / a : K e y V a l u e O f D i a g r a m O b j e c t K e y a n y T y p e z b w N T n L X > < a : K e y V a l u e O f D i a g r a m O b j e c t K e y a n y T y p e z b w N T n L X > < a : K e y > < K e y > T a b l e s \ T a r i f a s 2 0 2 3 \ C o l u m n s \ L o c a l i d a d < / K e y > < / a : K e y > < a : V a l u e   i : t y p e = " D i a g r a m D i s p l a y N o d e V i e w S t a t e " > < H e i g h t > 1 5 0 < / H e i g h t > < I s E x p a n d e d > t r u e < / I s E x p a n d e d > < W i d t h > 2 0 0 < / W i d t h > < / a : V a l u e > < / a : K e y V a l u e O f D i a g r a m O b j e c t K e y a n y T y p e z b w N T n L X > < a : K e y V a l u e O f D i a g r a m O b j e c t K e y a n y T y p e z b w N T n L X > < a : K e y > < K e y > T a b l e s \ T a r i f a s 2 0 2 3 \ C o l u m n s \ F o l i o   R P C < / K e y > < / a : K e y > < a : V a l u e   i : t y p e = " D i a g r a m D i s p l a y N o d e V i e w S t a t e " > < H e i g h t > 1 5 0 < / H e i g h t > < I s E x p a n d e d > t r u e < / I s E x p a n d e d > < W i d t h > 2 0 0 < / W i d t h > < / a : V a l u e > < / a : K e y V a l u e O f D i a g r a m O b j e c t K e y a n y T y p e z b w N T n L X > < a : K e y V a l u e O f D i a g r a m O b j e c t K e y a n y T y p e z b w N T n L X > < a : K e y > < K e y > T a b l e s \ T a r i f a s 2 0 2 3 \ C o l u m n s \ R e n t a   m e n s u a l   ( s i n   i m p u e s t o s ) < / K e y > < / a : K e y > < a : V a l u e   i : t y p e = " D i a g r a m D i s p l a y N o d e V i e w S t a t e " > < H e i g h t > 1 5 0 < / H e i g h t > < I s E x p a n d e d > t r u e < / I s E x p a n d e d > < W i d t h > 2 0 0 < / W i d t h > < / a : V a l u e > < / a : K e y V a l u e O f D i a g r a m O b j e c t K e y a n y T y p e z b w N T n L X > < a : K e y V a l u e O f D i a g r a m O b j e c t K e y a n y T y p e z b w N T n L X > < a : K e y > < K e y > T a b l e s \ T a r i f a s 2 0 2 3 \ C o l u m n s \ R e n t a   m e n s u a l     ( c o n   i m p u e s t o s ) < / K e y > < / a : K e y > < a : V a l u e   i : t y p e = " D i a g r a m D i s p l a y N o d e V i e w S t a t e " > < H e i g h t > 1 5 0 < / H e i g h t > < I s E x p a n d e d > t r u e < / I s E x p a n d e d > < W i d t h > 2 0 0 < / W i d t h > < / a : V a l u e > < / a : K e y V a l u e O f D i a g r a m O b j e c t K e y a n y T y p e z b w N T n L X > < a : K e y V a l u e O f D i a g r a m O b j e c t K e y a n y T y p e z b w N T n L X > < a : K e y > < K e y > T a b l e s \ T a r i f a s 2 0 2 3 \ C o l u m n s \ � T i e n e   p r o m o c i o n e s   a s o c i a d a s   a l   p a q u e t e   q u e   a j u s t e n   l a   t a r i f a   d e   l a   r e n t a   m e n s u a l ?   ( S i / N o ) < / K e y > < / a : K e y > < a : V a l u e   i : t y p e = " D i a g r a m D i s p l a y N o d e V i e w S t a t e " > < H e i g h t > 1 5 0 < / H e i g h t > < I s E x p a n d e d > t r u e < / I s E x p a n d e d > < W i d t h > 2 0 0 < / W i d t h > < / a : V a l u e > < / a : K e y V a l u e O f D i a g r a m O b j e c t K e y a n y T y p e z b w N T n L X > < a : K e y V a l u e O f D i a g r a m O b j e c t K e y a n y T y p e z b w N T n L X > < a : K e y > < K e y > T a b l e s \ T a r i f a s 2 0 2 3 \ C o l u m n s \ P r o m o c i � n   d e   " D e s c u e n t o   d e   s u   m e n s u a l i d a d "   p o r   u n   p e r i o d o   e s p e c � f i c o < / K e y > < / a : K e y > < a : V a l u e   i : t y p e = " D i a g r a m D i s p l a y N o d e V i e w S t a t e " > < H e i g h t > 1 5 0 < / H e i g h t > < I s E x p a n d e d > t r u e < / I s E x p a n d e d > < W i d t h > 2 0 0 < / W i d t h > < / a : V a l u e > < / a : K e y V a l u e O f D i a g r a m O b j e c t K e y a n y T y p e z b w N T n L X > < a : K e y V a l u e O f D i a g r a m O b j e c t K e y a n y T y p e z b w N T n L X > < a : K e y > < K e y > T a b l e s \ T a r i f a s 2 0 2 3 \ C o l u m n s \ R e n t a   m e n s u a l   c o n   t a r i f a   p r o m o c i o n a l   ( s i n   i m p u e s t o s ) < / K e y > < / a : K e y > < a : V a l u e   i : t y p e = " D i a g r a m D i s p l a y N o d e V i e w S t a t e " > < H e i g h t > 1 5 0 < / H e i g h t > < I s E x p a n d e d > t r u e < / I s E x p a n d e d > < W i d t h > 2 0 0 < / W i d t h > < / a : V a l u e > < / a : K e y V a l u e O f D i a g r a m O b j e c t K e y a n y T y p e z b w N T n L X > < a : K e y V a l u e O f D i a g r a m O b j e c t K e y a n y T y p e z b w N T n L X > < a : K e y > < K e y > T a b l e s \ T a r i f a s 2 0 2 3 \ C o l u m n s \ D u r a c i � n   d e   l a   p r o m o c i � n   ( e n   m e s e s ) < / K e y > < / a : K e y > < a : V a l u e   i : t y p e = " D i a g r a m D i s p l a y N o d e V i e w S t a t e " > < H e i g h t > 1 5 0 < / H e i g h t > < I s E x p a n d e d > t r u e < / I s E x p a n d e d > < W i d t h > 2 0 0 < / W i d t h > < / a : V a l u e > < / a : K e y V a l u e O f D i a g r a m O b j e c t K e y a n y T y p e z b w N T n L X > < a : K e y V a l u e O f D i a g r a m O b j e c t K e y a n y T y p e z b w N T n L X > < a : K e y > < K e y > T a b l e s \ T a r i f a s 2 0 2 3 \ C o l u m n s \ T � r m i n o s   y   c o n d i c i o n e s < / K e y > < / a : K e y > < a : V a l u e   i : t y p e = " D i a g r a m D i s p l a y N o d e V i e w S t a t e " > < H e i g h t > 1 5 0 < / H e i g h t > < I s E x p a n d e d > t r u e < / I s E x p a n d e d > < W i d t h > 2 0 0 < / W i d t h > < / a : V a l u e > < / a : K e y V a l u e O f D i a g r a m O b j e c t K e y a n y T y p e z b w N T n L X > < a : K e y V a l u e O f D i a g r a m O b j e c t K e y a n y T y p e z b w N T n L X > < a : K e y > < K e y > T a b l e s \ T a r i f a s 2 0 2 3 \ C o l u m n s \ P r o m o c i � n   p o r   " D o m i c i l i a c i � n "   d e   l a   r e n t a   m e n s u a l < / K e y > < / a : K e y > < a : V a l u e   i : t y p e = " D i a g r a m D i s p l a y N o d e V i e w S t a t e " > < H e i g h t > 1 5 0 < / H e i g h t > < I s E x p a n d e d > t r u e < / I s E x p a n d e d > < W i d t h > 2 0 0 < / W i d t h > < / a : V a l u e > < / a : K e y V a l u e O f D i a g r a m O b j e c t K e y a n y T y p e z b w N T n L X > < a : K e y V a l u e O f D i a g r a m O b j e c t K e y a n y T y p e z b w N T n L X > < a : K e y > < K e y > T a b l e s \ T a r i f a s 2 0 2 3 \ C o l u m n s \ R e n t a   m e n u s u a l   c o n   t a r i f a   p r o m o c i o n a l   ( s i n   i m p u e s t o s ) < / K e y > < / a : K e y > < a : V a l u e   i : t y p e = " D i a g r a m D i s p l a y N o d e V i e w S t a t e " > < H e i g h t > 1 5 0 < / H e i g h t > < I s E x p a n d e d > t r u e < / I s E x p a n d e d > < W i d t h > 2 0 0 < / W i d t h > < / a : V a l u e > < / a : K e y V a l u e O f D i a g r a m O b j e c t K e y a n y T y p e z b w N T n L X > < a : K e y V a l u e O f D i a g r a m O b j e c t K e y a n y T y p e z b w N T n L X > < a : K e y > < K e y > T a b l e s \ T a r i f a s 2 0 2 3 \ C o l u m n s \ D u r a c i � n   d e   l a   p r o m o c i � n   ( e n   m e s e s ) 2 < / K e y > < / a : K e y > < a : V a l u e   i : t y p e = " D i a g r a m D i s p l a y N o d e V i e w S t a t e " > < H e i g h t > 1 5 0 < / H e i g h t > < I s E x p a n d e d > t r u e < / I s E x p a n d e d > < W i d t h > 2 0 0 < / W i d t h > < / a : V a l u e > < / a : K e y V a l u e O f D i a g r a m O b j e c t K e y a n y T y p e z b w N T n L X > < a : K e y V a l u e O f D i a g r a m O b j e c t K e y a n y T y p e z b w N T n L X > < a : K e y > < K e y > T a b l e s \ T a r i f a s 2 0 2 3 \ C o l u m n s \ T � r m i n o s   y   c o n d i c i o n e s 3 < / K e y > < / a : K e y > < a : V a l u e   i : t y p e = " D i a g r a m D i s p l a y N o d e V i e w S t a t e " > < H e i g h t > 1 5 0 < / H e i g h t > < I s E x p a n d e d > t r u e < / I s E x p a n d e d > < W i d t h > 2 0 0 < / W i d t h > < / a : V a l u e > < / a : K e y V a l u e O f D i a g r a m O b j e c t K e y a n y T y p e z b w N T n L X > < a : K e y V a l u e O f D i a g r a m O b j e c t K e y a n y T y p e z b w N T n L X > < a : K e y > < K e y > T a b l e s \ T a r i f a s 2 0 2 3 \ C o l u m n s \ P r o m o c i � n   p o r   " A n u a l i d a d " < / K e y > < / a : K e y > < a : V a l u e   i : t y p e = " D i a g r a m D i s p l a y N o d e V i e w S t a t e " > < H e i g h t > 1 5 0 < / H e i g h t > < I s E x p a n d e d > t r u e < / I s E x p a n d e d > < W i d t h > 2 0 0 < / W i d t h > < / a : V a l u e > < / a : K e y V a l u e O f D i a g r a m O b j e c t K e y a n y T y p e z b w N T n L X > < a : K e y V a l u e O f D i a g r a m O b j e c t K e y a n y T y p e z b w N T n L X > < a : K e y > < K e y > T a b l e s \ T a r i f a s 2 0 2 3 \ C o l u m n s \ R e n t a   m e n u s u a l   c o n   t a r i f a   p r o m o c i o n a l   ( s i n   i m p u e s t o s ) 4 < / K e y > < / a : K e y > < a : V a l u e   i : t y p e = " D i a g r a m D i s p l a y N o d e V i e w S t a t e " > < H e i g h t > 1 5 0 < / H e i g h t > < I s E x p a n d e d > t r u e < / I s E x p a n d e d > < W i d t h > 2 0 0 < / W i d t h > < / a : V a l u e > < / a : K e y V a l u e O f D i a g r a m O b j e c t K e y a n y T y p e z b w N T n L X > < a : K e y V a l u e O f D i a g r a m O b j e c t K e y a n y T y p e z b w N T n L X > < a : K e y > < K e y > T a b l e s \ T a r i f a s 2 0 2 3 \ C o l u m n s \ D u r a c i � n   d e   l a   p r o m o c i � n   ( e n   m e s e s ) 5 < / K e y > < / a : K e y > < a : V a l u e   i : t y p e = " D i a g r a m D i s p l a y N o d e V i e w S t a t e " > < H e i g h t > 1 5 0 < / H e i g h t > < I s E x p a n d e d > t r u e < / I s E x p a n d e d > < W i d t h > 2 0 0 < / W i d t h > < / a : V a l u e > < / a : K e y V a l u e O f D i a g r a m O b j e c t K e y a n y T y p e z b w N T n L X > < a : K e y V a l u e O f D i a g r a m O b j e c t K e y a n y T y p e z b w N T n L X > < a : K e y > < K e y > T a b l e s \ T a r i f a s 2 0 2 3 \ C o l u m n s \ T � r m i n o s   y   c o n d i c i o n e s 6 < / K e y > < / a : K e y > < a : V a l u e   i : t y p e = " D i a g r a m D i s p l a y N o d e V i e w S t a t e " > < H e i g h t > 1 5 0 < / H e i g h t > < I s E x p a n d e d > t r u e < / I s E x p a n d e d > < W i d t h > 2 0 0 < / W i d t h > < / a : V a l u e > < / a : K e y V a l u e O f D i a g r a m O b j e c t K e y a n y T y p e z b w N T n L X > < a : K e y V a l u e O f D i a g r a m O b j e c t K e y a n y T y p e z b w N T n L X > < a : K e y > < K e y > T a b l e s \ T a r i f a s 2 0 2 3 \ C o l u m n s \ P r o m o c i � n   p o r   " C l i e n t e   a c t u a l   d e   T V " < / K e y > < / a : K e y > < a : V a l u e   i : t y p e = " D i a g r a m D i s p l a y N o d e V i e w S t a t e " > < H e i g h t > 1 5 0 < / H e i g h t > < I s E x p a n d e d > t r u e < / I s E x p a n d e d > < W i d t h > 2 0 0 < / W i d t h > < / a : V a l u e > < / a : K e y V a l u e O f D i a g r a m O b j e c t K e y a n y T y p e z b w N T n L X > < a : K e y V a l u e O f D i a g r a m O b j e c t K e y a n y T y p e z b w N T n L X > < a : K e y > < K e y > T a b l e s \ T a r i f a s 2 0 2 3 \ C o l u m n s \ R e n t a   m e n u s u a l   c o n   t a r i f a   p r o m o c i o n a l   ( s i n   i m p u e s t o s ) 7 < / K e y > < / a : K e y > < a : V a l u e   i : t y p e = " D i a g r a m D i s p l a y N o d e V i e w S t a t e " > < H e i g h t > 1 5 0 < / H e i g h t > < I s E x p a n d e d > t r u e < / I s E x p a n d e d > < W i d t h > 2 0 0 < / W i d t h > < / a : V a l u e > < / a : K e y V a l u e O f D i a g r a m O b j e c t K e y a n y T y p e z b w N T n L X > < a : K e y V a l u e O f D i a g r a m O b j e c t K e y a n y T y p e z b w N T n L X > < a : K e y > < K e y > T a b l e s \ T a r i f a s 2 0 2 3 \ C o l u m n s \ D u r a c i � n   d e   l a   p r o m o c i � n   ( e n   m e s e s ) 8 < / K e y > < / a : K e y > < a : V a l u e   i : t y p e = " D i a g r a m D i s p l a y N o d e V i e w S t a t e " > < H e i g h t > 1 5 0 < / H e i g h t > < I s E x p a n d e d > t r u e < / I s E x p a n d e d > < W i d t h > 2 0 0 < / W i d t h > < / a : V a l u e > < / a : K e y V a l u e O f D i a g r a m O b j e c t K e y a n y T y p e z b w N T n L X > < a : K e y V a l u e O f D i a g r a m O b j e c t K e y a n y T y p e z b w N T n L X > < a : K e y > < K e y > T a b l e s \ T a r i f a s 2 0 2 3 \ C o l u m n s \ T � r m i n o s   y   c o n d i c i o n e s 9 < / K e y > < / a : K e y > < a : V a l u e   i : t y p e = " D i a g r a m D i s p l a y N o d e V i e w S t a t e " > < H e i g h t > 1 5 0 < / H e i g h t > < I s E x p a n d e d > t r u e < / I s E x p a n d e d > < W i d t h > 2 0 0 < / W i d t h > < / a : V a l u e > < / a : K e y V a l u e O f D i a g r a m O b j e c t K e y a n y T y p e z b w N T n L X > < a : K e y V a l u e O f D i a g r a m O b j e c t K e y a n y T y p e z b w N T n L X > < a : K e y > < K e y > T a b l e s \ T a r i f a s 2 0 2 3 \ C o l u m n s \ � C u e n t a   c o n   i n c e n t i v o s   p r o m o c i o n a l e s   p o r   l a   c o n t r a t a c i � n   d e   a l g � n   s e r v i c i o   O T T   q u e   a j u s t e   e l   m o n t o   d < / K e y > < / a : K e y > < a : V a l u e   i : t y p e = " D i a g r a m D i s p l a y N o d e V i e w S t a t e " > < H e i g h t > 1 5 0 < / H e i g h t > < I s E x p a n d e d > t r u e < / I s E x p a n d e d > < W i d t h > 2 0 0 < / W i d t h > < / a : V a l u e > < / a : K e y V a l u e O f D i a g r a m O b j e c t K e y a n y T y p e z b w N T n L X > < a : K e y V a l u e O f D i a g r a m O b j e c t K e y a n y T y p e z b w N T n L X > < a : K e y > < K e y > T a b l e s \ T a r i f a s 2 0 2 3 \ C o l u m n s \ T a r i f a   N e t f l i x   E s t � n d a r   c o n   a n u n c i o s   ( s i n   i m p u e s t o s ) < / K e y > < / a : K e y > < a : V a l u e   i : t y p e = " D i a g r a m D i s p l a y N o d e V i e w S t a t e " > < H e i g h t > 1 5 0 < / H e i g h t > < I s E x p a n d e d > t r u e < / I s E x p a n d e d > < W i d t h > 2 0 0 < / W i d t h > < / a : V a l u e > < / a : K e y V a l u e O f D i a g r a m O b j e c t K e y a n y T y p e z b w N T n L X > < a : K e y V a l u e O f D i a g r a m O b j e c t K e y a n y T y p e z b w N T n L X > < a : K e y > < K e y > T a b l e s \ T a r i f a s 2 0 2 3 \ C o l u m n s \ R e n t a   m e n u s u a l   p r o m o c i o n a l   p o r   l a   c o n t r a t a c i � n   d e l   N e t f l i x   E s t � n d a r   c o n   a n u n c i o s   ( s i n   i m p u e s t o s ) < / K e y > < / a : K e y > < a : V a l u e   i : t y p e = " D i a g r a m D i s p l a y N o d e V i e w S t a t e " > < H e i g h t > 1 5 0 < / H e i g h t > < I s E x p a n d e d > t r u e < / I s E x p a n d e d > < W i d t h > 2 0 0 < / W i d t h > < / a : V a l u e > < / a : K e y V a l u e O f D i a g r a m O b j e c t K e y a n y T y p e z b w N T n L X > < a : K e y V a l u e O f D i a g r a m O b j e c t K e y a n y T y p e z b w N T n L X > < a : K e y > < K e y > T a b l e s \ T a r i f a s 2 0 2 3 \ C o l u m n s \ T � r m i n o s   y   c o n d i c i o n e s 1 0 < / K e y > < / a : K e y > < a : V a l u e   i : t y p e = " D i a g r a m D i s p l a y N o d e V i e w S t a t e " > < H e i g h t > 1 5 0 < / H e i g h t > < I s E x p a n d e d > t r u e < / I s E x p a n d e d > < W i d t h > 2 0 0 < / W i d t h > < / a : V a l u e > < / a : K e y V a l u e O f D i a g r a m O b j e c t K e y a n y T y p e z b w N T n L X > < a : K e y V a l u e O f D i a g r a m O b j e c t K e y a n y T y p e z b w N T n L X > < a : K e y > < K e y > T a b l e s \ T a r i f a s 2 0 2 3 \ C o l u m n s \ T a r i f a   N e t f l i x   E s t � n d a r   ( s i n   i m p u e s t o s ) < / K e y > < / a : K e y > < a : V a l u e   i : t y p e = " D i a g r a m D i s p l a y N o d e V i e w S t a t e " > < H e i g h t > 1 5 0 < / H e i g h t > < I s E x p a n d e d > t r u e < / I s E x p a n d e d > < W i d t h > 2 0 0 < / W i d t h > < / a : V a l u e > < / a : K e y V a l u e O f D i a g r a m O b j e c t K e y a n y T y p e z b w N T n L X > < a : K e y V a l u e O f D i a g r a m O b j e c t K e y a n y T y p e z b w N T n L X > < a : K e y > < K e y > T a b l e s \ T a r i f a s 2 0 2 3 \ C o l u m n s \ R e n t a   m e n u s u a l   p r o m o c i o n a l   p o r   l a   c o n t r a t a c i � n   d e l   N e t f l i x   E s t � n d a r   ( s i n   i m p u e s t o s ) < / K e y > < / a : K e y > < a : V a l u e   i : t y p e = " D i a g r a m D i s p l a y N o d e V i e w S t a t e " > < H e i g h t > 1 5 0 < / H e i g h t > < I s E x p a n d e d > t r u e < / I s E x p a n d e d > < W i d t h > 2 0 0 < / W i d t h > < / a : V a l u e > < / a : K e y V a l u e O f D i a g r a m O b j e c t K e y a n y T y p e z b w N T n L X > < a : K e y V a l u e O f D i a g r a m O b j e c t K e y a n y T y p e z b w N T n L X > < a : K e y > < K e y > T a b l e s \ T a r i f a s 2 0 2 3 \ C o l u m n s \ T � r m i n o s   y   c o n d i c i o n e s 1 1 < / K e y > < / a : K e y > < a : V a l u e   i : t y p e = " D i a g r a m D i s p l a y N o d e V i e w S t a t e " > < H e i g h t > 1 5 0 < / H e i g h t > < I s E x p a n d e d > t r u e < / I s E x p a n d e d > < W i d t h > 2 0 0 < / W i d t h > < / a : V a l u e > < / a : K e y V a l u e O f D i a g r a m O b j e c t K e y a n y T y p e z b w N T n L X > < a : K e y V a l u e O f D i a g r a m O b j e c t K e y a n y T y p e z b w N T n L X > < a : K e y > < K e y > T a b l e s \ T a r i f a s 2 0 2 3 \ C o l u m n s \ T a r i f a   N e t f l i x   P r e m i u m   ( s i n   i m p u e s t o s ) < / K e y > < / a : K e y > < a : V a l u e   i : t y p e = " D i a g r a m D i s p l a y N o d e V i e w S t a t e " > < H e i g h t > 1 5 0 < / H e i g h t > < I s E x p a n d e d > t r u e < / I s E x p a n d e d > < W i d t h > 2 0 0 < / W i d t h > < / a : V a l u e > < / a : K e y V a l u e O f D i a g r a m O b j e c t K e y a n y T y p e z b w N T n L X > < a : K e y V a l u e O f D i a g r a m O b j e c t K e y a n y T y p e z b w N T n L X > < a : K e y > < K e y > T a b l e s \ T a r i f a s 2 0 2 3 \ C o l u m n s \ R e n t a   m e n u s u a l   p r o m o c i o n a l   p o r   l a   c o n t r a t a c i � n   d e l   N e t f l i x   P r e m i u m   ( s i n   i m p u e s t o s ) < / K e y > < / a : K e y > < a : V a l u e   i : t y p e = " D i a g r a m D i s p l a y N o d e V i e w S t a t e " > < H e i g h t > 1 5 0 < / H e i g h t > < I s E x p a n d e d > t r u e < / I s E x p a n d e d > < W i d t h > 2 0 0 < / W i d t h > < / a : V a l u e > < / a : K e y V a l u e O f D i a g r a m O b j e c t K e y a n y T y p e z b w N T n L X > < a : K e y V a l u e O f D i a g r a m O b j e c t K e y a n y T y p e z b w N T n L X > < a : K e y > < K e y > T a b l e s \ T a r i f a s 2 0 2 3 \ C o l u m n s \ T � r m i n o s   y   c o n d i c i o n e s 1 2 < / K e y > < / a : K e y > < a : V a l u e   i : t y p e = " D i a g r a m D i s p l a y N o d e V i e w S t a t e " > < H e i g h t > 1 5 0 < / H e i g h t > < I s E x p a n d e d > t r u e < / I s E x p a n d e d > < W i d t h > 2 0 0 < / W i d t h > < / a : V a l u e > < / a : K e y V a l u e O f D i a g r a m O b j e c t K e y a n y T y p e z b w N T n L X > < a : K e y V a l u e O f D i a g r a m O b j e c t K e y a n y T y p e z b w N T n L X > < a : K e y > < K e y > T a b l e s \ T a r i f a s 2 0 2 3 \ C o l u m n s \ T a r i f a   A m a z o n   P r i m e   ( s i n   i m p u e s t o s ) < / K e y > < / a : K e y > < a : V a l u e   i : t y p e = " D i a g r a m D i s p l a y N o d e V i e w S t a t e " > < H e i g h t > 1 5 0 < / H e i g h t > < I s E x p a n d e d > t r u e < / I s E x p a n d e d > < W i d t h > 2 0 0 < / W i d t h > < / a : V a l u e > < / a : K e y V a l u e O f D i a g r a m O b j e c t K e y a n y T y p e z b w N T n L X > < a : K e y V a l u e O f D i a g r a m O b j e c t K e y a n y T y p e z b w N T n L X > < a : K e y > < K e y > T a b l e s \ T a r i f a s 2 0 2 3 \ C o l u m n s \ R e n t a   m e n u s u a l   p r o m o c i o n a l   p o r   l a   c o n t r a t a c i � n   P r i m e   V i d e o   ( s i n   i m p u e s t o s ) < / K e y > < / a : K e y > < a : V a l u e   i : t y p e = " D i a g r a m D i s p l a y N o d e V i e w S t a t e " > < H e i g h t > 1 5 0 < / H e i g h t > < I s E x p a n d e d > t r u e < / I s E x p a n d e d > < W i d t h > 2 0 0 < / W i d t h > < / a : V a l u e > < / a : K e y V a l u e O f D i a g r a m O b j e c t K e y a n y T y p e z b w N T n L X > < a : K e y V a l u e O f D i a g r a m O b j e c t K e y a n y T y p e z b w N T n L X > < a : K e y > < K e y > T a b l e s \ T a r i f a s 2 0 2 3 \ C o l u m n s \ T � r m i n o s   y   c o n d i c i o n e s 1 3 < / K e y > < / a : K e y > < a : V a l u e   i : t y p e = " D i a g r a m D i s p l a y N o d e V i e w S t a t e " > < H e i g h t > 1 5 0 < / H e i g h t > < I s E x p a n d e d > t r u e < / I s E x p a n d e d > < W i d t h > 2 0 0 < / W i d t h > < / a : V a l u e > < / a : K e y V a l u e O f D i a g r a m O b j e c t K e y a n y T y p e z b w N T n L X > < a : K e y V a l u e O f D i a g r a m O b j e c t K e y a n y T y p e z b w N T n L X > < a : K e y > < K e y > T a b l e s \ T a r i f a s 2 0 2 3 \ C o l u m n s \ T a r i f a   m a x     ( s i n   i m p u e s t o s ) < / K e y > < / a : K e y > < a : V a l u e   i : t y p e = " D i a g r a m D i s p l a y N o d e V i e w S t a t e " > < H e i g h t > 1 5 0 < / H e i g h t > < I s E x p a n d e d > t r u e < / I s E x p a n d e d > < W i d t h > 2 0 0 < / W i d t h > < / a : V a l u e > < / a : K e y V a l u e O f D i a g r a m O b j e c t K e y a n y T y p e z b w N T n L X > < a : K e y V a l u e O f D i a g r a m O b j e c t K e y a n y T y p e z b w N T n L X > < a : K e y > < K e y > T a b l e s \ T a r i f a s 2 0 2 3 \ C o l u m n s \ R e n t a   m e n u s u a l   p r o m o c i o n a l   p o r   l a   c o n t r a t a c i � n   m a x     ( s i n   i m p u e s t o s ) < / K e y > < / a : K e y > < a : V a l u e   i : t y p e = " D i a g r a m D i s p l a y N o d e V i e w S t a t e " > < H e i g h t > 1 5 0 < / H e i g h t > < I s E x p a n d e d > t r u e < / I s E x p a n d e d > < W i d t h > 2 0 0 < / W i d t h > < / a : V a l u e > < / a : K e y V a l u e O f D i a g r a m O b j e c t K e y a n y T y p e z b w N T n L X > < a : K e y V a l u e O f D i a g r a m O b j e c t K e y a n y T y p e z b w N T n L X > < a : K e y > < K e y > T a b l e s \ T a r i f a s 2 0 2 3 \ C o l u m n s \ T � r m i n o s   y   c o n d i c i o n e s 1 4 < / K e y > < / a : K e y > < a : V a l u e   i : t y p e = " D i a g r a m D i s p l a y N o d e V i e w S t a t e " > < H e i g h t > 1 5 0 < / H e i g h t > < I s E x p a n d e d > t r u e < / I s E x p a n d e d > < W i d t h > 2 0 0 < / W i d t h > < / a : V a l u e > < / a : K e y V a l u e O f D i a g r a m O b j e c t K e y a n y T y p e z b w N T n L X > < a : K e y V a l u e O f D i a g r a m O b j e c t K e y a n y T y p e z b w N T n L X > < a : K e y > < K e y > T a b l e s \ T a r i f a s 2 0 2 3 \ C o l u m n s \ T a r i f a   P a r a m o u n t   +   ( s i n   i m p u e s t o s ) < / K e y > < / a : K e y > < a : V a l u e   i : t y p e = " D i a g r a m D i s p l a y N o d e V i e w S t a t e " > < H e i g h t > 1 5 0 < / H e i g h t > < I s E x p a n d e d > t r u e < / I s E x p a n d e d > < W i d t h > 2 0 0 < / W i d t h > < / a : V a l u e > < / a : K e y V a l u e O f D i a g r a m O b j e c t K e y a n y T y p e z b w N T n L X > < a : K e y V a l u e O f D i a g r a m O b j e c t K e y a n y T y p e z b w N T n L X > < a : K e y > < K e y > T a b l e s \ T a r i f a s 2 0 2 3 \ C o l u m n s \ R e n t a   m e n u s u a l   p r o m o c i o n a l   p o r   l a   c o n t r a t a c i � n   P a r a m o u n t   +   ( s i n   i m p u e s t o s ) < / K e y > < / a : K e y > < a : V a l u e   i : t y p e = " D i a g r a m D i s p l a y N o d e V i e w S t a t e " > < H e i g h t > 1 5 0 < / H e i g h t > < I s E x p a n d e d > t r u e < / I s E x p a n d e d > < W i d t h > 2 0 0 < / W i d t h > < / a : V a l u e > < / a : K e y V a l u e O f D i a g r a m O b j e c t K e y a n y T y p e z b w N T n L X > < a : K e y V a l u e O f D i a g r a m O b j e c t K e y a n y T y p e z b w N T n L X > < a : K e y > < K e y > T a b l e s \ T a r i f a s 2 0 2 3 \ C o l u m n s \ T � r m i n o s   y   c o n d i c i o n e s 1 5 < / K e y > < / a : K e y > < a : V a l u e   i : t y p e = " D i a g r a m D i s p l a y N o d e V i e w S t a t e " > < H e i g h t > 1 5 0 < / H e i g h t > < I s E x p a n d e d > t r u e < / I s E x p a n d e d > < W i d t h > 2 0 0 < / W i d t h > < / a : V a l u e > < / a : K e y V a l u e O f D i a g r a m O b j e c t K e y a n y T y p e z b w N T n L X > < a : K e y V a l u e O f D i a g r a m O b j e c t K e y a n y T y p e z b w N T n L X > < a : K e y > < K e y > T a b l e s \ T a r i f a s 2 0 2 3 \ C o l u m n s \ T a r i f a   D i s n e y   +     ( s i n   i m p u e s t o s ) < / K e y > < / a : K e y > < a : V a l u e   i : t y p e = " D i a g r a m D i s p l a y N o d e V i e w S t a t e " > < H e i g h t > 1 5 0 < / H e i g h t > < I s E x p a n d e d > t r u e < / I s E x p a n d e d > < W i d t h > 2 0 0 < / W i d t h > < / a : V a l u e > < / a : K e y V a l u e O f D i a g r a m O b j e c t K e y a n y T y p e z b w N T n L X > < a : K e y V a l u e O f D i a g r a m O b j e c t K e y a n y T y p e z b w N T n L X > < a : K e y > < K e y > T a b l e s \ T a r i f a s 2 0 2 3 \ C o l u m n s \ R e n t a   m e n u s u a l   p r o m o c i o n a l   p o r   l a   c o n t r a t a c i � n   D i s n e y   +     ( s i n   i m p u e s t o s ) < / K e y > < / a : K e y > < a : V a l u e   i : t y p e = " D i a g r a m D i s p l a y N o d e V i e w S t a t e " > < H e i g h t > 1 5 0 < / H e i g h t > < I s E x p a n d e d > t r u e < / I s E x p a n d e d > < W i d t h > 2 0 0 < / W i d t h > < / a : V a l u e > < / a : K e y V a l u e O f D i a g r a m O b j e c t K e y a n y T y p e z b w N T n L X > < a : K e y V a l u e O f D i a g r a m O b j e c t K e y a n y T y p e z b w N T n L X > < a : K e y > < K e y > T a b l e s \ T a r i f a s 2 0 2 3 \ C o l u m n s \ T � r m i n o s   y   c o n d i c i o n e s 1 6 < / K e y > < / a : K e y > < a : V a l u e   i : t y p e = " D i a g r a m D i s p l a y N o d e V i e w S t a t e " > < H e i g h t > 1 5 0 < / H e i g h t > < I s E x p a n d e d > t r u e < / I s E x p a n d e d > < W i d t h > 2 0 0 < / W i d t h > < / a : V a l u e > < / a : K e y V a l u e O f D i a g r a m O b j e c t K e y a n y T y p e z b w N T n L X > < a : K e y V a l u e O f D i a g r a m O b j e c t K e y a n y T y p e z b w N T n L X > < a : K e y > < K e y > T a b l e s \ T a r i f a s 2 0 2 3 \ C o l u m n s \ T a r i f a   S t a r   +     ( s i n   i m p u e s t o s ) < / K e y > < / a : K e y > < a : V a l u e   i : t y p e = " D i a g r a m D i s p l a y N o d e V i e w S t a t e " > < H e i g h t > 1 5 0 < / H e i g h t > < I s E x p a n d e d > t r u e < / I s E x p a n d e d > < W i d t h > 2 0 0 < / W i d t h > < / a : V a l u e > < / a : K e y V a l u e O f D i a g r a m O b j e c t K e y a n y T y p e z b w N T n L X > < a : K e y V a l u e O f D i a g r a m O b j e c t K e y a n y T y p e z b w N T n L X > < a : K e y > < K e y > T a b l e s \ T a r i f a s 2 0 2 3 \ C o l u m n s \ R e n t a   m e n u s u a l   p r o m o c i o n a l   p o r   l a   c o n t r a t a c i � n   S t a r   +     ( s i n   i m p u e s t o s ) < / K e y > < / a : K e y > < a : V a l u e   i : t y p e = " D i a g r a m D i s p l a y N o d e V i e w S t a t e " > < H e i g h t > 1 5 0 < / H e i g h t > < I s E x p a n d e d > t r u e < / I s E x p a n d e d > < W i d t h > 2 0 0 < / W i d t h > < / a : V a l u e > < / a : K e y V a l u e O f D i a g r a m O b j e c t K e y a n y T y p e z b w N T n L X > < a : K e y V a l u e O f D i a g r a m O b j e c t K e y a n y T y p e z b w N T n L X > < a : K e y > < K e y > T a b l e s \ T a r i f a s 2 0 2 3 \ C o l u m n s \ T � r m i n o s   y   c o n d i c i o n e s 1 7 < / K e y > < / a : K e y > < a : V a l u e   i : t y p e = " D i a g r a m D i s p l a y N o d e V i e w S t a t e " > < H e i g h t > 1 5 0 < / H e i g h t > < I s E x p a n d e d > t r u e < / I s E x p a n d e d > < W i d t h > 2 0 0 < / W i d t h > < / a : V a l u e > < / a : K e y V a l u e O f D i a g r a m O b j e c t K e y a n y T y p e z b w N T n L X > < a : K e y V a l u e O f D i a g r a m O b j e c t K e y a n y T y p e z b w N T n L X > < a : K e y > < K e y > T a b l e s \ T a r i f a s 2 0 2 3 \ C o l u m n s \ T a r i f a   C o m b o   +   ( s i n   i m p u e s t o s ) < / K e y > < / a : K e y > < a : V a l u e   i : t y p e = " D i a g r a m D i s p l a y N o d e V i e w S t a t e " > < H e i g h t > 1 5 0 < / H e i g h t > < I s E x p a n d e d > t r u e < / I s E x p a n d e d > < W i d t h > 2 0 0 < / W i d t h > < / a : V a l u e > < / a : K e y V a l u e O f D i a g r a m O b j e c t K e y a n y T y p e z b w N T n L X > < a : K e y V a l u e O f D i a g r a m O b j e c t K e y a n y T y p e z b w N T n L X > < a : K e y > < K e y > T a b l e s \ T a r i f a s 2 0 2 3 \ C o l u m n s \ R e n t a   m e n u s u a l   p r o m o c i o n a l   p o r   l a   c o n t r a t a c i � n   C o m b o   ( s i n   i m p u e s t o s ) < / K e y > < / a : K e y > < a : V a l u e   i : t y p e = " D i a g r a m D i s p l a y N o d e V i e w S t a t e " > < H e i g h t > 1 5 0 < / H e i g h t > < I s E x p a n d e d > t r u e < / I s E x p a n d e d > < W i d t h > 2 0 0 < / W i d t h > < / a : V a l u e > < / a : K e y V a l u e O f D i a g r a m O b j e c t K e y a n y T y p e z b w N T n L X > < a : K e y V a l u e O f D i a g r a m O b j e c t K e y a n y T y p e z b w N T n L X > < a : K e y > < K e y > T a b l e s \ T a r i f a s 2 0 2 3 \ C o l u m n s \ T � r m i n o s   y   c o n d i c i o n e s 1 8 < / K e y > < / a : K e y > < a : V a l u e   i : t y p e = " D i a g r a m D i s p l a y N o d e V i e w S t a t e " > < H e i g h t > 1 5 0 < / H e i g h t > < I s E x p a n d e d > t r u e < / I s E x p a n d e d > < W i d t h > 2 0 0 < / W i d t h > < / a : V a l u e > < / a : K e y V a l u e O f D i a g r a m O b j e c t K e y a n y T y p e z b w N T n L X > < a : K e y V a l u e O f D i a g r a m O b j e c t K e y a n y T y p e z b w N T n L X > < a : K e y > < K e y > T a b l e s \ T a r i f a s 2 0 2 3 \ C o l u m n s \ T a r i f a   F o x   S p o r t   P r e m i u m     ( s i n   i m p u e s t o s ) < / K e y > < / a : K e y > < a : V a l u e   i : t y p e = " D i a g r a m D i s p l a y N o d e V i e w S t a t e " > < H e i g h t > 1 5 0 < / H e i g h t > < I s E x p a n d e d > t r u e < / I s E x p a n d e d > < W i d t h > 2 0 0 < / W i d t h > < / a : V a l u e > < / a : K e y V a l u e O f D i a g r a m O b j e c t K e y a n y T y p e z b w N T n L X > < a : K e y V a l u e O f D i a g r a m O b j e c t K e y a n y T y p e z b w N T n L X > < a : K e y > < K e y > T a b l e s \ T a r i f a s 2 0 2 3 \ C o l u m n s \ R e n t a   m e n u s u a l   p r o m o c i o n a l   p o r   l a   c o n t r a t a c i � n   F o x   S p o r t   P r e m i u m   ( s i n   i m p u e s t o s ) < / K e y > < / a : K e y > < a : V a l u e   i : t y p e = " D i a g r a m D i s p l a y N o d e V i e w S t a t e " > < H e i g h t > 1 5 0 < / H e i g h t > < I s E x p a n d e d > t r u e < / I s E x p a n d e d > < W i d t h > 2 0 0 < / W i d t h > < / a : V a l u e > < / a : K e y V a l u e O f D i a g r a m O b j e c t K e y a n y T y p e z b w N T n L X > < a : K e y V a l u e O f D i a g r a m O b j e c t K e y a n y T y p e z b w N T n L X > < a : K e y > < K e y > T a b l e s \ T a r i f a s 2 0 2 3 \ C o l u m n s \ T � r m i n o s   y   c o n d i c i o n e s 1 9 < / K e y > < / a : K e y > < a : V a l u e   i : t y p e = " D i a g r a m D i s p l a y N o d e V i e w S t a t e " > < H e i g h t > 1 5 0 < / H e i g h t > < I s E x p a n d e d > t r u e < / I s E x p a n d e d > < W i d t h > 2 0 0 < / W i d t h > < / a : V a l u e > < / a : K e y V a l u e O f D i a g r a m O b j e c t K e y a n y T y p e z b w N T n L X > < a : K e y V a l u e O f D i a g r a m O b j e c t K e y a n y T y p e z b w N T n L X > < a : K e y > < K e y > T a b l e s \ T a r i f a s 2 0 2 3 \ M e a s u r e s \ R e c u e n t o   d e   N o m b r e   d e   P l a n / P a q u e t e < / K e y > < / a : K e y > < a : V a l u e   i : t y p e = " D i a g r a m D i s p l a y N o d e V i e w S t a t e " > < H e i g h t > 1 5 0 < / H e i g h t > < I s E x p a n d e d > t r u e < / I s E x p a n d e d > < W i d t h > 2 0 0 < / W i d t h > < / a : V a l u e > < / a : K e y V a l u e O f D i a g r a m O b j e c t K e y a n y T y p e z b w N T n L X > < a : K e y V a l u e O f D i a g r a m O b j e c t K e y a n y T y p e z b w N T n L X > < a : K e y > < K e y > T a b l e s \ T a r i f a s 2 0 2 3 \ R e c u e n t o   d e   N o m b r e   d e   P l a n / P a q u e t e \ A d d i t i o n a l   I n f o \ M e d i d a   i m p l � c i t a < / K e y > < / a : K e y > < a : V a l u e   i : t y p e = " D i a g r a m D i s p l a y V i e w S t a t e I D i a g r a m T a g A d d i t i o n a l I n f o " / > < / a : K e y V a l u e O f D i a g r a m O b j e c t K e y a n y T y p e z b w N T n L X > < a : K e y V a l u e O f D i a g r a m O b j e c t K e y a n y T y p e z b w N T n L X > < a : K e y > < K e y > T a b l e s \ T a r i f a s 2 0 2 3 \ M e a s u r e s \ S u m a   d e   R e n t a   m e n s u a l   ( s i n   i m p u e s t o s ) < / K e y > < / a : K e y > < a : V a l u e   i : t y p e = " D i a g r a m D i s p l a y N o d e V i e w S t a t e " > < H e i g h t > 1 5 0 < / H e i g h t > < I s E x p a n d e d > t r u e < / I s E x p a n d e d > < W i d t h > 2 0 0 < / W i d t h > < / a : V a l u e > < / a : K e y V a l u e O f D i a g r a m O b j e c t K e y a n y T y p e z b w N T n L X > < a : K e y V a l u e O f D i a g r a m O b j e c t K e y a n y T y p e z b w N T n L X > < a : K e y > < K e y > T a b l e s \ T a r i f a s 2 0 2 3 \ S u m a   d e   R e n t a   m e n s u a l   ( s i n   i m p u e s t o s ) \ A d d i t i o n a l   I n f o \ M e d i d a   i m p l � c i t a < / K e y > < / a : K e y > < a : V a l u e   i : t y p e = " D i a g r a m D i s p l a y V i e w S t a t e I D i a g r a m T a g A d d i t i o n a l I n f o " / > < / a : K e y V a l u e O f D i a g r a m O b j e c t K e y a n y T y p e z b w N T n L X > < a : K e y V a l u e O f D i a g r a m O b j e c t K e y a n y T y p e z b w N T n L X > < a : K e y > < K e y > T a b l e s \ C a n a s t a 2 0 2 4 < / K e y > < / a : K e y > < a : V a l u e   i : t y p e = " D i a g r a m D i s p l a y N o d e V i e w S t a t e " > < H e i g h t > 1 6 7 7 < / H e i g h t > < I s E x p a n d e d > t r u e < / I s E x p a n d e d > < L a y e d O u t > t r u e < / L a y e d O u t > < L e f t > 2 4 0 < / L e f t > < T a b I n d e x > 1 < / T a b I n d e x > < W i d t h > 3 2 1 < / W i d t h > < / a : V a l u e > < / a : K e y V a l u e O f D i a g r a m O b j e c t K e y a n y T y p e z b w N T n L X > < a : K e y V a l u e O f D i a g r a m O b j e c t K e y a n y T y p e z b w N T n L X > < a : K e y > < K e y > T a b l e s \ C a n a s t a 2 0 2 4 \ C o l u m n s \ N o m b r e   d e   P l a n / P a q u e t e < / K e y > < / a : K e y > < a : V a l u e   i : t y p e = " D i a g r a m D i s p l a y N o d e V i e w S t a t e " > < H e i g h t > 1 5 0 < / H e i g h t > < I s E x p a n d e d > t r u e < / I s E x p a n d e d > < W i d t h > 2 0 0 < / W i d t h > < / a : V a l u e > < / a : K e y V a l u e O f D i a g r a m O b j e c t K e y a n y T y p e z b w N T n L X > < a : K e y V a l u e O f D i a g r a m O b j e c t K e y a n y T y p e z b w N T n L X > < a : K e y > < K e y > T a b l e s \ C a n a s t a 2 0 2 4 \ C o l u m n s \ T i p o * < / K e y > < / a : K e y > < a : V a l u e   i : t y p e = " D i a g r a m D i s p l a y N o d e V i e w S t a t e " > < H e i g h t > 1 5 0 < / H e i g h t > < I s E x p a n d e d > t r u e < / I s E x p a n d e d > < W i d t h > 2 0 0 < / W i d t h > < / a : V a l u e > < / a : K e y V a l u e O f D i a g r a m O b j e c t K e y a n y T y p e z b w N T n L X > < a : K e y V a l u e O f D i a g r a m O b j e c t K e y a n y T y p e z b w N T n L X > < a : K e y > < K e y > T a b l e s \ C a n a s t a 2 0 2 4 \ C o l u m n s \ T i p o   d e   p a q u e t e   c o n s i d e r a n d o   S T A R   ( s e r v i c i o s   i n c l u i d o s ) * < / K e y > < / a : K e y > < a : V a l u e   i : t y p e = " D i a g r a m D i s p l a y N o d e V i e w S t a t e " > < H e i g h t > 1 5 0 < / H e i g h t > < I s E x p a n d e d > t r u e < / I s E x p a n d e d > < W i d t h > 2 0 0 < / W i d t h > < / a : V a l u e > < / a : K e y V a l u e O f D i a g r a m O b j e c t K e y a n y T y p e z b w N T n L X > < a : K e y V a l u e O f D i a g r a m O b j e c t K e y a n y T y p e z b w N T n L X > < a : K e y > < K e y > T a b l e s \ C a n a s t a 2 0 2 4 \ C o l u m n s \ E s t a d o < / K e y > < / a : K e y > < a : V a l u e   i : t y p e = " D i a g r a m D i s p l a y N o d e V i e w S t a t e " > < H e i g h t > 1 5 0 < / H e i g h t > < I s E x p a n d e d > t r u e < / I s E x p a n d e d > < W i d t h > 2 0 0 < / W i d t h > < / a : V a l u e > < / a : K e y V a l u e O f D i a g r a m O b j e c t K e y a n y T y p e z b w N T n L X > < a : K e y V a l u e O f D i a g r a m O b j e c t K e y a n y T y p e z b w N T n L X > < a : K e y > < K e y > T a b l e s \ C a n a s t a 2 0 2 4 \ C o l u m n s \ M u n i c i p i o < / K e y > < / a : K e y > < a : V a l u e   i : t y p e = " D i a g r a m D i s p l a y N o d e V i e w S t a t e " > < H e i g h t > 1 5 0 < / H e i g h t > < I s E x p a n d e d > t r u e < / I s E x p a n d e d > < W i d t h > 2 0 0 < / W i d t h > < / a : V a l u e > < / a : K e y V a l u e O f D i a g r a m O b j e c t K e y a n y T y p e z b w N T n L X > < a : K e y V a l u e O f D i a g r a m O b j e c t K e y a n y T y p e z b w N T n L X > < a : K e y > < K e y > T a b l e s \ C a n a s t a 2 0 2 4 \ C o l u m n s \ L o c a l i d a d < / K e y > < / a : K e y > < a : V a l u e   i : t y p e = " D i a g r a m D i s p l a y N o d e V i e w S t a t e " > < H e i g h t > 1 5 0 < / H e i g h t > < I s E x p a n d e d > t r u e < / I s E x p a n d e d > < W i d t h > 2 0 0 < / W i d t h > < / a : V a l u e > < / a : K e y V a l u e O f D i a g r a m O b j e c t K e y a n y T y p e z b w N T n L X > < a : K e y V a l u e O f D i a g r a m O b j e c t K e y a n y T y p e z b w N T n L X > < a : K e y > < K e y > T a b l e s \ C a n a s t a 2 0 2 4 \ C o l u m n s \ F o l i o   R P C < / K e y > < / a : K e y > < a : V a l u e   i : t y p e = " D i a g r a m D i s p l a y N o d e V i e w S t a t e " > < H e i g h t > 1 5 0 < / H e i g h t > < I s E x p a n d e d > t r u e < / I s E x p a n d e d > < W i d t h > 2 0 0 < / W i d t h > < / a : V a l u e > < / a : K e y V a l u e O f D i a g r a m O b j e c t K e y a n y T y p e z b w N T n L X > < a : K e y V a l u e O f D i a g r a m O b j e c t K e y a n y T y p e z b w N T n L X > < a : K e y > < K e y > T a b l e s \ C a n a s t a 2 0 2 4 \ C o l u m n s \ R e n t a   m e n s u a l     ( s i n   i m p u e s t o s ) < / K e y > < / a : K e y > < a : V a l u e   i : t y p e = " D i a g r a m D i s p l a y N o d e V i e w S t a t e " > < H e i g h t > 1 5 0 < / H e i g h t > < I s E x p a n d e d > t r u e < / I s E x p a n d e d > < W i d t h > 2 0 0 < / W i d t h > < / a : V a l u e > < / a : K e y V a l u e O f D i a g r a m O b j e c t K e y a n y T y p e z b w N T n L X > < a : K e y V a l u e O f D i a g r a m O b j e c t K e y a n y T y p e z b w N T n L X > < a : K e y > < K e y > T a b l e s \ C a n a s t a 2 0 2 4 \ C o l u m n s \ R e n t a   m e n s u a l     ( c o n   i m p u e s t o s ) < / K e y > < / a : K e y > < a : V a l u e   i : t y p e = " D i a g r a m D i s p l a y N o d e V i e w S t a t e " > < H e i g h t > 1 5 0 < / H e i g h t > < I s E x p a n d e d > t r u e < / I s E x p a n d e d > < W i d t h > 2 0 0 < / W i d t h > < / a : V a l u e > < / a : K e y V a l u e O f D i a g r a m O b j e c t K e y a n y T y p e z b w N T n L X > < a : K e y V a l u e O f D i a g r a m O b j e c t K e y a n y T y p e z b w N T n L X > < a : K e y > < K e y > T a b l e s \ C a n a s t a 2 0 2 4 \ C o l u m n s \ C a n t i d a d   d e   T V   i n c l u i d a s < / K e y > < / a : K e y > < a : V a l u e   i : t y p e = " D i a g r a m D i s p l a y N o d e V i e w S t a t e " > < H e i g h t > 1 5 0 < / H e i g h t > < I s E x p a n d e d > t r u e < / I s E x p a n d e d > < W i d t h > 2 0 0 < / W i d t h > < / a : V a l u e > < / a : K e y V a l u e O f D i a g r a m O b j e c t K e y a n y T y p e z b w N T n L X > < a : K e y V a l u e O f D i a g r a m O b j e c t K e y a n y T y p e z b w N T n L X > < a : K e y > < K e y > T a b l e s \ C a n a s t a 2 0 2 4 \ C o l u m n s \ E n t r e t e n i m i e n t o < / K e y > < / a : K e y > < a : V a l u e   i : t y p e = " D i a g r a m D i s p l a y N o d e V i e w S t a t e " > < H e i g h t > 1 5 0 < / H e i g h t > < I s E x p a n d e d > t r u e < / I s E x p a n d e d > < W i d t h > 2 0 0 < / W i d t h > < / a : V a l u e > < / a : K e y V a l u e O f D i a g r a m O b j e c t K e y a n y T y p e z b w N T n L X > < a : K e y V a l u e O f D i a g r a m O b j e c t K e y a n y T y p e z b w N T n L X > < a : K e y > < K e y > T a b l e s \ C a n a s t a 2 0 2 4 \ C o l u m n s \ M � s i c a < / K e y > < / a : K e y > < a : V a l u e   i : t y p e = " D i a g r a m D i s p l a y N o d e V i e w S t a t e " > < H e i g h t > 1 5 0 < / H e i g h t > < I s E x p a n d e d > t r u e < / I s E x p a n d e d > < W i d t h > 2 0 0 < / W i d t h > < / a : V a l u e > < / a : K e y V a l u e O f D i a g r a m O b j e c t K e y a n y T y p e z b w N T n L X > < a : K e y V a l u e O f D i a g r a m O b j e c t K e y a n y T y p e z b w N T n L X > < a : K e y > < K e y > T a b l e s \ C a n a s t a 2 0 2 4 \ C o l u m n s \ N i � o s / F a m i l i a r < / K e y > < / a : K e y > < a : V a l u e   i : t y p e = " D i a g r a m D i s p l a y N o d e V i e w S t a t e " > < H e i g h t > 1 5 0 < / H e i g h t > < I s E x p a n d e d > t r u e < / I s E x p a n d e d > < W i d t h > 2 0 0 < / W i d t h > < / a : V a l u e > < / a : K e y V a l u e O f D i a g r a m O b j e c t K e y a n y T y p e z b w N T n L X > < a : K e y V a l u e O f D i a g r a m O b j e c t K e y a n y T y p e z b w N T n L X > < a : K e y > < K e y > T a b l e s \ C a n a s t a 2 0 2 4 \ C o l u m n s \ D o c u m e n t a l e s   /   C u l t u r a l e s < / K e y > < / a : K e y > < a : V a l u e   i : t y p e = " D i a g r a m D i s p l a y N o d e V i e w S t a t e " > < H e i g h t > 1 5 0 < / H e i g h t > < I s E x p a n d e d > t r u e < / I s E x p a n d e d > < W i d t h > 2 0 0 < / W i d t h > < / a : V a l u e > < / a : K e y V a l u e O f D i a g r a m O b j e c t K e y a n y T y p e z b w N T n L X > < a : K e y V a l u e O f D i a g r a m O b j e c t K e y a n y T y p e z b w N T n L X > < a : K e y > < K e y > T a b l e s \ C a n a s t a 2 0 2 4 \ C o l u m n s \ N a c i o n a l e s < / K e y > < / a : K e y > < a : V a l u e   i : t y p e = " D i a g r a m D i s p l a y N o d e V i e w S t a t e " > < H e i g h t > 1 5 0 < / H e i g h t > < I s E x p a n d e d > t r u e < / I s E x p a n d e d > < W i d t h > 2 0 0 < / W i d t h > < / a : V a l u e > < / a : K e y V a l u e O f D i a g r a m O b j e c t K e y a n y T y p e z b w N T n L X > < a : K e y V a l u e O f D i a g r a m O b j e c t K e y a n y T y p e z b w N T n L X > < a : K e y > < K e y > T a b l e s \ C a n a s t a 2 0 2 4 \ C o l u m n s \ I n t e r n a c i o n a l e s < / K e y > < / a : K e y > < a : V a l u e   i : t y p e = " D i a g r a m D i s p l a y N o d e V i e w S t a t e " > < H e i g h t > 1 5 0 < / H e i g h t > < I s E x p a n d e d > t r u e < / I s E x p a n d e d > < W i d t h > 2 0 0 < / W i d t h > < / a : V a l u e > < / a : K e y V a l u e O f D i a g r a m O b j e c t K e y a n y T y p e z b w N T n L X > < a : K e y V a l u e O f D i a g r a m O b j e c t K e y a n y T y p e z b w N T n L X > < a : K e y > < K e y > T a b l e s \ C a n a s t a 2 0 2 4 \ C o l u m n s \ D e p o r t e s < / K e y > < / a : K e y > < a : V a l u e   i : t y p e = " D i a g r a m D i s p l a y N o d e V i e w S t a t e " > < H e i g h t > 1 5 0 < / H e i g h t > < I s E x p a n d e d > t r u e < / I s E x p a n d e d > < W i d t h > 2 0 0 < / W i d t h > < / a : V a l u e > < / a : K e y V a l u e O f D i a g r a m O b j e c t K e y a n y T y p e z b w N T n L X > < a : K e y V a l u e O f D i a g r a m O b j e c t K e y a n y T y p e z b w N T n L X > < a : K e y > < K e y > T a b l e s \ C a n a s t a 2 0 2 4 \ C o l u m n s \ P e l � c u l a s < / K e y > < / a : K e y > < a : V a l u e   i : t y p e = " D i a g r a m D i s p l a y N o d e V i e w S t a t e " > < H e i g h t > 1 5 0 < / H e i g h t > < I s E x p a n d e d > t r u e < / I s E x p a n d e d > < W i d t h > 2 0 0 < / W i d t h > < / a : V a l u e > < / a : K e y V a l u e O f D i a g r a m O b j e c t K e y a n y T y p e z b w N T n L X > < a : K e y V a l u e O f D i a g r a m O b j e c t K e y a n y T y p e z b w N T n L X > < a : K e y > < K e y > T a b l e s \ C a n a s t a 2 0 2 4 \ C o l u m n s \ N � m e r o   d e   c a n a l e s   c o n   a l t a   d e f i n i c i � n   ( H D ) < / K e y > < / a : K e y > < a : V a l u e   i : t y p e = " D i a g r a m D i s p l a y N o d e V i e w S t a t e " > < H e i g h t > 1 5 0 < / H e i g h t > < I s E x p a n d e d > t r u e < / I s E x p a n d e d > < W i d t h > 2 0 0 < / W i d t h > < / a : V a l u e > < / a : K e y V a l u e O f D i a g r a m O b j e c t K e y a n y T y p e z b w N T n L X > < a : K e y V a l u e O f D i a g r a m O b j e c t K e y a n y T y p e z b w N T n L X > < a : K e y > < K e y > T a b l e s \ C a n a s t a 2 0 2 4 \ C o l u m n s \ N � m e r o   d e   c a n a l e s   " S o l o   A u d i o " < / K e y > < / a : K e y > < a : V a l u e   i : t y p e = " D i a g r a m D i s p l a y N o d e V i e w S t a t e " > < H e i g h t > 1 5 0 < / H e i g h t > < I s E x p a n d e d > t r u e < / I s E x p a n d e d > < W i d t h > 2 0 0 < / W i d t h > < / a : V a l u e > < / a : K e y V a l u e O f D i a g r a m O b j e c t K e y a n y T y p e z b w N T n L X > < a : K e y V a l u e O f D i a g r a m O b j e c t K e y a n y T y p e z b w N T n L X > < a : K e y > < K e y > T a b l e s \ C a n a s t a 2 0 2 4 \ C o l u m n s \ m a x < / K e y > < / a : K e y > < a : V a l u e   i : t y p e = " D i a g r a m D i s p l a y N o d e V i e w S t a t e " > < H e i g h t > 1 5 0 < / H e i g h t > < I s E x p a n d e d > t r u e < / I s E x p a n d e d > < W i d t h > 2 0 0 < / W i d t h > < / a : V a l u e > < / a : K e y V a l u e O f D i a g r a m O b j e c t K e y a n y T y p e z b w N T n L X > < a : K e y V a l u e O f D i a g r a m O b j e c t K e y a n y T y p e z b w N T n L X > < a : K e y > < K e y > T a b l e s \ C a n a s t a 2 0 2 4 \ C o l u m n s \ p a r a m o u n t   + < / K e y > < / a : K e y > < a : V a l u e   i : t y p e = " D i a g r a m D i s p l a y N o d e V i e w S t a t e " > < H e i g h t > 1 5 0 < / H e i g h t > < I s E x p a n d e d > t r u e < / I s E x p a n d e d > < W i d t h > 2 0 0 < / W i d t h > < / a : V a l u e > < / a : K e y V a l u e O f D i a g r a m O b j e c t K e y a n y T y p e z b w N T n L X > < a : K e y V a l u e O f D i a g r a m O b j e c t K e y a n y T y p e z b w N T n L X > < a : K e y > < K e y > T a b l e s \ C a n a s t a 2 0 2 4 \ C o l u m n s \ F o x   S p o r t   P r e m i u m < / K e y > < / a : K e y > < a : V a l u e   i : t y p e = " D i a g r a m D i s p l a y N o d e V i e w S t a t e " > < H e i g h t > 1 5 0 < / H e i g h t > < I s E x p a n d e d > t r u e < / I s E x p a n d e d > < W i d t h > 2 0 0 < / W i d t h > < / a : V a l u e > < / a : K e y V a l u e O f D i a g r a m O b j e c t K e y a n y T y p e z b w N T n L X > < a : K e y V a l u e O f D i a g r a m O b j e c t K e y a n y T y p e z b w N T n L X > < a : K e y > < K e y > T a b l e s \ C a n a s t a 2 0 2 4 \ C o l u m n s \ M L B < / K e y > < / a : K e y > < a : V a l u e   i : t y p e = " D i a g r a m D i s p l a y N o d e V i e w S t a t e " > < H e i g h t > 1 5 0 < / H e i g h t > < I s E x p a n d e d > t r u e < / I s E x p a n d e d > < W i d t h > 2 0 0 < / W i d t h > < / a : V a l u e > < / a : K e y V a l u e O f D i a g r a m O b j e c t K e y a n y T y p e z b w N T n L X > < a : K e y V a l u e O f D i a g r a m O b j e c t K e y a n y T y p e z b w N T n L X > < a : K e y > < K e y > T a b l e s \ C a n a s t a 2 0 2 4 \ C o l u m n s \ N B A   L e a g u e   P a s s < / K e y > < / a : K e y > < a : V a l u e   i : t y p e = " D i a g r a m D i s p l a y N o d e V i e w S t a t e " > < H e i g h t > 1 5 0 < / H e i g h t > < I s E x p a n d e d > t r u e < / I s E x p a n d e d > < W i d t h > 2 0 0 < / W i d t h > < / a : V a l u e > < / a : K e y V a l u e O f D i a g r a m O b j e c t K e y a n y T y p e z b w N T n L X > < a : K e y V a l u e O f D i a g r a m O b j e c t K e y a n y T y p e z b w N T n L X > < a : K e y > < K e y > T a b l e s \ C a n a s t a 2 0 2 4 \ C o l u m n s \ A d u l t   P a c k < / K e y > < / a : K e y > < a : V a l u e   i : t y p e = " D i a g r a m D i s p l a y N o d e V i e w S t a t e " > < H e i g h t > 1 5 0 < / H e i g h t > < I s E x p a n d e d > t r u e < / I s E x p a n d e d > < W i d t h > 2 0 0 < / W i d t h > < / a : V a l u e > < / a : K e y V a l u e O f D i a g r a m O b j e c t K e y a n y T y p e z b w N T n L X > < a : K e y V a l u e O f D i a g r a m O b j e c t K e y a n y T y p e z b w N T n L X > < a : K e y > < K e y > T a b l e s \ C a n a s t a 2 0 2 4 \ C o l u m n s \ o t r o s < / K e y > < / a : K e y > < a : V a l u e   i : t y p e = " D i a g r a m D i s p l a y N o d e V i e w S t a t e " > < H e i g h t > 1 5 0 < / H e i g h t > < I s E x p a n d e d > t r u e < / I s E x p a n d e d > < W i d t h > 2 0 0 < / W i d t h > < / a : V a l u e > < / a : K e y V a l u e O f D i a g r a m O b j e c t K e y a n y T y p e z b w N T n L X > < a : K e y V a l u e O f D i a g r a m O b j e c t K e y a n y T y p e z b w N T n L X > < a : K e y > < K e y > T a b l e s \ C a n a s t a 2 0 2 4 \ C o l u m n s \ C a n t i d a d   d e   l � n e a s   i n c l u i d a s < / K e y > < / a : K e y > < a : V a l u e   i : t y p e = " D i a g r a m D i s p l a y N o d e V i e w S t a t e " > < H e i g h t > 1 5 0 < / H e i g h t > < I s E x p a n d e d > t r u e < / I s E x p a n d e d > < W i d t h > 2 0 0 < / W i d t h > < / a : V a l u e > < / a : K e y V a l u e O f D i a g r a m O b j e c t K e y a n y T y p e z b w N T n L X > < a : K e y V a l u e O f D i a g r a m O b j e c t K e y a n y T y p e z b w N T n L X > < a : K e y > < K e y > T a b l e s \ C a n a s t a 2 0 2 4 \ C o l u m n s \ N a c i o n a l e s 2 < / K e y > < / a : K e y > < a : V a l u e   i : t y p e = " D i a g r a m D i s p l a y N o d e V i e w S t a t e " > < H e i g h t > 1 5 0 < / H e i g h t > < I s E x p a n d e d > t r u e < / I s E x p a n d e d > < W i d t h > 2 0 0 < / W i d t h > < / a : V a l u e > < / a : K e y V a l u e O f D i a g r a m O b j e c t K e y a n y T y p e z b w N T n L X > < a : K e y V a l u e O f D i a g r a m O b j e c t K e y a n y T y p e z b w N T n L X > < a : K e y > < K e y > T a b l e s \ C a n a s t a 2 0 2 4 \ C o l u m n s \ E s t d o s   U n i d o s   y   C a n a d � < / K e y > < / a : K e y > < a : V a l u e   i : t y p e = " D i a g r a m D i s p l a y N o d e V i e w S t a t e " > < H e i g h t > 1 5 0 < / H e i g h t > < I s E x p a n d e d > t r u e < / I s E x p a n d e d > < W i d t h > 2 0 0 < / W i d t h > < / a : V a l u e > < / a : K e y V a l u e O f D i a g r a m O b j e c t K e y a n y T y p e z b w N T n L X > < a : K e y V a l u e O f D i a g r a m O b j e c t K e y a n y T y p e z b w N T n L X > < a : K e y > < K e y > T a b l e s \ C a n a s t a 2 0 2 4 \ C o l u m n s \ N a c i o n a l e s 3 < / K e y > < / a : K e y > < a : V a l u e   i : t y p e = " D i a g r a m D i s p l a y N o d e V i e w S t a t e " > < H e i g h t > 1 5 0 < / H e i g h t > < I s E x p a n d e d > t r u e < / I s E x p a n d e d > < W i d t h > 2 0 0 < / W i d t h > < / a : V a l u e > < / a : K e y V a l u e O f D i a g r a m O b j e c t K e y a n y T y p e z b w N T n L X > < a : K e y V a l u e O f D i a g r a m O b j e c t K e y a n y T y p e z b w N T n L X > < a : K e y > < K e y > T a b l e s \ C a n a s t a 2 0 2 4 \ C o l u m n s \ E s t d o s   U n i d o s   y   C a n a d � 4 < / K e y > < / a : K e y > < a : V a l u e   i : t y p e = " D i a g r a m D i s p l a y N o d e V i e w S t a t e " > < H e i g h t > 1 5 0 < / H e i g h t > < I s E x p a n d e d > t r u e < / I s E x p a n d e d > < W i d t h > 2 0 0 < / W i d t h > < / a : V a l u e > < / a : K e y V a l u e O f D i a g r a m O b j e c t K e y a n y T y p e z b w N T n L X > < a : K e y V a l u e O f D i a g r a m O b j e c t K e y a n y T y p e z b w N T n L X > < a : K e y > < K e y > T a b l e s \ C a n a s t a 2 0 2 4 \ C o l u m n s \ V e l o c i d a d   d e   b a j a d a   o f e r t a d a   ( M b p s ) < / K e y > < / a : K e y > < a : V a l u e   i : t y p e = " D i a g r a m D i s p l a y N o d e V i e w S t a t e " > < H e i g h t > 1 5 0 < / H e i g h t > < I s E x p a n d e d > t r u e < / I s E x p a n d e d > < W i d t h > 2 0 0 < / W i d t h > < / a : V a l u e > < / a : K e y V a l u e O f D i a g r a m O b j e c t K e y a n y T y p e z b w N T n L X > < a : K e y V a l u e O f D i a g r a m O b j e c t K e y a n y T y p e z b w N T n L X > < a : K e y > < K e y > T a b l e s \ C a n a s t a 2 0 2 4 \ C o l u m n s \ V e l o c i d a d   d e   s u b i d a   o f e r t a d a   ( M b p s ) < / K e y > < / a : K e y > < a : V a l u e   i : t y p e = " D i a g r a m D i s p l a y N o d e V i e w S t a t e " > < H e i g h t > 1 5 0 < / H e i g h t > < I s E x p a n d e d > t r u e < / I s E x p a n d e d > < W i d t h > 2 0 0 < / W i d t h > < / a : V a l u e > < / a : K e y V a l u e O f D i a g r a m O b j e c t K e y a n y T y p e z b w N T n L X > < a : K e y V a l u e O f D i a g r a m O b j e c t K e y a n y T y p e z b w N T n L X > < a : K e y > < K e y > T a b l e s \ C a n a s t a 2 0 2 4 \ C o l u m n s \ � C u e n t a   c o n   p r o m o c i o n e s   q u e   i n c r e m e n t e n   s u   v e l o c i d a d   a   p a r t i r   d e l   p a g o   d e   l a   m i s m a   r e n t a   m e n s u a l ?   ( S < / K e y > < / a : K e y > < a : V a l u e   i : t y p e = " D i a g r a m D i s p l a y N o d e V i e w S t a t e " > < H e i g h t > 1 5 0 < / H e i g h t > < I s E x p a n d e d > t r u e < / I s E x p a n d e d > < W i d t h > 2 0 0 < / W i d t h > < / a : V a l u e > < / a : K e y V a l u e O f D i a g r a m O b j e c t K e y a n y T y p e z b w N T n L X > < a : K e y V a l u e O f D i a g r a m O b j e c t K e y a n y T y p e z b w N T n L X > < a : K e y > < K e y > T a b l e s \ C a n a s t a 2 0 2 4 \ C o l u m n s \ D u r a c i � n   d e l   p e r i o d o   d e   t i e m p o   ( e n   m e s e s )   e n   q u e   o f r e c e   l a   p r o m o c i � n   d e   i n c r e m e n t o   d e   v e l o c i d a d < / K e y > < / a : K e y > < a : V a l u e   i : t y p e = " D i a g r a m D i s p l a y N o d e V i e w S t a t e " > < H e i g h t > 1 5 0 < / H e i g h t > < I s E x p a n d e d > t r u e < / I s E x p a n d e d > < W i d t h > 2 0 0 < / W i d t h > < / a : V a l u e > < / a : K e y V a l u e O f D i a g r a m O b j e c t K e y a n y T y p e z b w N T n L X > < a : K e y V a l u e O f D i a g r a m O b j e c t K e y a n y T y p e z b w N T n L X > < a : K e y > < K e y > T a b l e s \ C a n a s t a 2 0 2 4 \ C o l u m n s \ V e l o c i d a d   d e   s u b i d a   o f e r t a d a   ( M b p s )   c o n   l a   p r o m o c i � n   d e   a u m e n t o   d e   v e l o c i d a d < / K e y > < / a : K e y > < a : V a l u e   i : t y p e = " D i a g r a m D i s p l a y N o d e V i e w S t a t e " > < H e i g h t > 1 5 0 < / H e i g h t > < I s E x p a n d e d > t r u e < / I s E x p a n d e d > < W i d t h > 2 0 0 < / W i d t h > < / a : V a l u e > < / a : K e y V a l u e O f D i a g r a m O b j e c t K e y a n y T y p e z b w N T n L X > < a : K e y V a l u e O f D i a g r a m O b j e c t K e y a n y T y p e z b w N T n L X > < a : K e y > < K e y > T a b l e s \ C a n a s t a 2 0 2 4 \ C o l u m n s \ V e l o c i d a d   d e   b a j a d a   o f e r t a d a   ( M b p s )   c o n   l a   p r o m o c i � n   d e   a u m e n t o   d e   v e l o c i d a d < / K e y > < / a : K e y > < a : V a l u e   i : t y p e = " D i a g r a m D i s p l a y N o d e V i e w S t a t e " > < H e i g h t > 1 5 0 < / H e i g h t > < I s E x p a n d e d > t r u e < / I s E x p a n d e d > < W i d t h > 2 0 0 < / W i d t h > < / a : V a l u e > < / a : K e y V a l u e O f D i a g r a m O b j e c t K e y a n y T y p e z b w N T n L X > < a : K e y V a l u e O f D i a g r a m O b j e c t K e y a n y T y p e z b w N T n L X > < a : K e y > < K e y > T a b l e s \ C a n a s t a 2 0 2 4 \ C o l u m n s \ V e l o c i d a d   d e   s u b i d a   o f e r t a d a   ( M b p s )   c o n   l a   p r o m o c i � n   d e   a u m e n t o   d e   v e l o c i d a d 5 < / K e y > < / a : K e y > < a : V a l u e   i : t y p e = " D i a g r a m D i s p l a y N o d e V i e w S t a t e " > < H e i g h t > 1 5 0 < / H e i g h t > < I s E x p a n d e d > t r u e < / I s E x p a n d e d > < W i d t h > 2 0 0 < / W i d t h > < / a : V a l u e > < / a : K e y V a l u e O f D i a g r a m O b j e c t K e y a n y T y p e z b w N T n L X > < a : K e y V a l u e O f D i a g r a m O b j e c t K e y a n y T y p e z b w N T n L X > < a : K e y > < K e y > T a b l e s \ C a n a s t a 2 0 2 4 \ C o l u m n s \ V e l o c i d a d   d e   b a j a d a   o f e r t a d a   ( M b p s )   c o n   l a   p r o m o c i � n   d e   a u m e n t o   d e   v e l o c i d a d 6 < / K e y > < / a : K e y > < a : V a l u e   i : t y p e = " D i a g r a m D i s p l a y N o d e V i e w S t a t e " > < H e i g h t > 1 5 0 < / H e i g h t > < I s E x p a n d e d > t r u e < / I s E x p a n d e d > < W i d t h > 2 0 0 < / W i d t h > < / a : V a l u e > < / a : K e y V a l u e O f D i a g r a m O b j e c t K e y a n y T y p e z b w N T n L X > < a : K e y V a l u e O f D i a g r a m O b j e c t K e y a n y T y p e z b w N T n L X > < a : K e y > < K e y > T a b l e s \ C a n a s t a 2 0 2 4 \ C o l u m n s \ V e l o c i d a d   d e   s u b i d a   o f e r t a d a   ( M b p s )   c o n   l a   p r o m o c i � n   d e   a u m e n t o   d e   v e l o c i d a d 7 < / K e y > < / a : K e y > < a : V a l u e   i : t y p e = " D i a g r a m D i s p l a y N o d e V i e w S t a t e " > < H e i g h t > 1 5 0 < / H e i g h t > < I s E x p a n d e d > t r u e < / I s E x p a n d e d > < W i d t h > 2 0 0 < / W i d t h > < / a : V a l u e > < / a : K e y V a l u e O f D i a g r a m O b j e c t K e y a n y T y p e z b w N T n L X > < a : K e y V a l u e O f D i a g r a m O b j e c t K e y a n y T y p e z b w N T n L X > < a : K e y > < K e y > T a b l e s \ C a n a s t a 2 0 2 4 \ C o l u m n s \ � C u e n t a   c o n   p r o m o c i o n e s   q u e   v u e l v a n   s u   v e l o c i d a d   s i m � t r i c a   p a r t i r   d e l   p a g o   d e   l a   m i s m a   r e n t a   m e n s u a l < / K e y > < / a : K e y > < a : V a l u e   i : t y p e = " D i a g r a m D i s p l a y N o d e V i e w S t a t e " > < H e i g h t > 1 5 0 < / H e i g h t > < I s E x p a n d e d > t r u e < / I s E x p a n d e d > < W i d t h > 2 0 0 < / W i d t h > < / a : V a l u e > < / a : K e y V a l u e O f D i a g r a m O b j e c t K e y a n y T y p e z b w N T n L X > < a : K e y V a l u e O f D i a g r a m O b j e c t K e y a n y T y p e z b w N T n L X > < a : K e y > < K e y > T a b l e s \ C a n a s t a 2 0 2 4 \ C o l u m n s \ D u r a c i � n   d e l   p e r i o d o   d e   t i e m p o   ( e n   m e s e s )   e n   q u e   o f r e c e   l a   p r o m o c i � n   d e   s i m e t r � a   e n   l a   v e l o c i d a d < / K e y > < / a : K e y > < a : V a l u e   i : t y p e = " D i a g r a m D i s p l a y N o d e V i e w S t a t e " > < H e i g h t > 1 5 0 < / H e i g h t > < I s E x p a n d e d > t r u e < / I s E x p a n d e d > < W i d t h > 2 0 0 < / W i d t h > < / a : V a l u e > < / a : K e y V a l u e O f D i a g r a m O b j e c t K e y a n y T y p e z b w N T n L X > < a : K e y V a l u e O f D i a g r a m O b j e c t K e y a n y T y p e z b w N T n L X > < a : K e y > < K e y > T a b l e s \ C a n a s t a 2 0 2 4 \ C o l u m n s \ � I n c l u y e   P a r a m o u n t   + ? < / K e y > < / a : K e y > < a : V a l u e   i : t y p e = " D i a g r a m D i s p l a y N o d e V i e w S t a t e " > < H e i g h t > 1 5 0 < / H e i g h t > < I s E x p a n d e d > t r u e < / I s E x p a n d e d > < W i d t h > 2 0 0 < / W i d t h > < / a : V a l u e > < / a : K e y V a l u e O f D i a g r a m O b j e c t K e y a n y T y p e z b w N T n L X > < a : K e y V a l u e O f D i a g r a m O b j e c t K e y a n y T y p e z b w N T n L X > < a : K e y > < K e y > T a b l e s \ C a n a s t a 2 0 2 4 \ C o l u m n s \ T � r m i n o s   y   c o n d i c i o n e s   d e l   s e r v i c i o * * < / K e y > < / a : K e y > < a : V a l u e   i : t y p e = " D i a g r a m D i s p l a y N o d e V i e w S t a t e " > < H e i g h t > 1 5 0 < / H e i g h t > < I s E x p a n d e d > t r u e < / I s E x p a n d e d > < W i d t h > 2 0 0 < / W i d t h > < / a : V a l u e > < / a : K e y V a l u e O f D i a g r a m O b j e c t K e y a n y T y p e z b w N T n L X > < a : K e y V a l u e O f D i a g r a m O b j e c t K e y a n y T y p e z b w N T n L X > < a : K e y > < K e y > T a b l e s \ C a n a s t a 2 0 2 4 \ C o l u m n s \ D u r a c i � n   d e l   p e r i o d o   d e   t i e m p o   ( e n   m e s e s )   e n   q u e   o f r e c e   a   l o s   u s u a r i o s   f i n a l e s   e l   s e r v i c i o   d e   P a r a m o < / K e y > < / a : K e y > < a : V a l u e   i : t y p e = " D i a g r a m D i s p l a y N o d e V i e w S t a t e " > < H e i g h t > 1 5 0 < / H e i g h t > < I s E x p a n d e d > t r u e < / I s E x p a n d e d > < W i d t h > 2 0 0 < / W i d t h > < / a : V a l u e > < / a : K e y V a l u e O f D i a g r a m O b j e c t K e y a n y T y p e z b w N T n L X > < a : K e y V a l u e O f D i a g r a m O b j e c t K e y a n y T y p e z b w N T n L X > < a : K e y > < K e y > T a b l e s \ C a n a s t a 2 0 2 4 \ C o l u m n s \ � I n c l u y e   m a x ? < / K e y > < / a : K e y > < a : V a l u e   i : t y p e = " D i a g r a m D i s p l a y N o d e V i e w S t a t e " > < H e i g h t > 1 5 0 < / H e i g h t > < I s E x p a n d e d > t r u e < / I s E x p a n d e d > < W i d t h > 2 0 0 < / W i d t h > < / a : V a l u e > < / a : K e y V a l u e O f D i a g r a m O b j e c t K e y a n y T y p e z b w N T n L X > < a : K e y V a l u e O f D i a g r a m O b j e c t K e y a n y T y p e z b w N T n L X > < a : K e y > < K e y > T a b l e s \ C a n a s t a 2 0 2 4 \ C o l u m n s \ T � r m i n o s   y   c o n d i c i o n e s   d e l   s e r v i c i o * * 8 < / K e y > < / a : K e y > < a : V a l u e   i : t y p e = " D i a g r a m D i s p l a y N o d e V i e w S t a t e " > < H e i g h t > 1 5 0 < / H e i g h t > < I s E x p a n d e d > t r u e < / I s E x p a n d e d > < W i d t h > 2 0 0 < / W i d t h > < / a : V a l u e > < / a : K e y V a l u e O f D i a g r a m O b j e c t K e y a n y T y p e z b w N T n L X > < a : K e y V a l u e O f D i a g r a m O b j e c t K e y a n y T y p e z b w N T n L X > < a : K e y > < K e y > T a b l e s \ C a n a s t a 2 0 2 4 \ C o l u m n s \ D u r a c i � n   d e l   p e r i o d o   d e   t i e m p o   ( e n   m e s e s )   e n   q u e   o f r e c e   a   l o s   u s u a r i o s   f i n a l e s   e l   s e r v i c i o   d e   m a x   s i < / K e y > < / a : K e y > < a : V a l u e   i : t y p e = " D i a g r a m D i s p l a y N o d e V i e w S t a t e " > < H e i g h t > 1 5 0 < / H e i g h t > < I s E x p a n d e d > t r u e < / I s E x p a n d e d > < W i d t h > 2 0 0 < / W i d t h > < / a : V a l u e > < / a : K e y V a l u e O f D i a g r a m O b j e c t K e y a n y T y p e z b w N T n L X > < a : K e y V a l u e O f D i a g r a m O b j e c t K e y a n y T y p e z b w N T n L X > < a : K e y > < K e y > T a b l e s \ C a n a s t a 2 0 2 4 \ C o l u m n s \ � I n c l u y e   m a x ?   9 < / K e y > < / a : K e y > < a : V a l u e   i : t y p e = " D i a g r a m D i s p l a y N o d e V i e w S t a t e " > < H e i g h t > 1 5 0 < / H e i g h t > < I s E x p a n d e d > t r u e < / I s E x p a n d e d > < W i d t h > 2 0 0 < / W i d t h > < / a : V a l u e > < / a : K e y V a l u e O f D i a g r a m O b j e c t K e y a n y T y p e z b w N T n L X > < a : K e y V a l u e O f D i a g r a m O b j e c t K e y a n y T y p e z b w N T n L X > < a : K e y > < K e y > T a b l e s \ C a n a s t a 2 0 2 4 \ C o l u m n s \ T � r m i n o s   y   c o n d i c i o n e s   d e l   s e r v i c i o * * 1 0 < / K e y > < / a : K e y > < a : V a l u e   i : t y p e = " D i a g r a m D i s p l a y N o d e V i e w S t a t e " > < H e i g h t > 1 5 0 < / H e i g h t > < I s E x p a n d e d > t r u e < / I s E x p a n d e d > < W i d t h > 2 0 0 < / W i d t h > < / a : V a l u e > < / a : K e y V a l u e O f D i a g r a m O b j e c t K e y a n y T y p e z b w N T n L X > < a : K e y V a l u e O f D i a g r a m O b j e c t K e y a n y T y p e z b w N T n L X > < a : K e y > < K e y > T a b l e s \ C a n a s t a 2 0 2 4 \ C o l u m n s \ D u r a c i � n   d e l   p e r i o d o   d e   t i e m p o   ( e n   m e s e s )   e n   q u e   o f r e c e   a   l o s   u s u a r i o s   f i n a l e s   e l   s e r v i c i o   d e   m a x     2 < / K e y > < / a : K e y > < a : V a l u e   i : t y p e = " D i a g r a m D i s p l a y N o d e V i e w S t a t e " > < H e i g h t > 1 5 0 < / H e i g h t > < I s E x p a n d e d > t r u e < / I s E x p a n d e d > < W i d t h > 2 0 0 < / W i d t h > < / a : V a l u e > < / a : K e y V a l u e O f D i a g r a m O b j e c t K e y a n y T y p e z b w N T n L X > < a : K e y V a l u e O f D i a g r a m O b j e c t K e y a n y T y p e z b w N T n L X > < a : K e y > < K e y > T a b l e s \ C a n a s t a 2 0 2 4 \ C o l u m n s \ C a n t i d a d   d e   s e r v i c i o s   a d i c i o n a l e s   i n c l u i d o s < / K e y > < / a : K e y > < a : V a l u e   i : t y p e = " D i a g r a m D i s p l a y N o d e V i e w S t a t e " > < H e i g h t > 1 5 0 < / H e i g h t > < I s E x p a n d e d > t r u e < / I s E x p a n d e d > < W i d t h > 2 0 0 < / W i d t h > < / a : V a l u e > < / a : K e y V a l u e O f D i a g r a m O b j e c t K e y a n y T y p e z b w N T n L X > < a : K e y V a l u e O f D i a g r a m O b j e c t K e y a n y T y p e z b w N T n L X > < a : K e y > < K e y > T a b l e s \ C a n a s t a 2 0 2 4 \ C o l u m n s \ N o m b r e   d e   l o s   s e r v i c i o s   a d i c i o n a l e s   i n c l u i d o s   ( p o r   e j e m p l o   (   I d e n t i f i c a d o r   d e   l l a m a d a s ,   D e s v i o   d e   l l < / K e y > < / a : K e y > < a : V a l u e   i : t y p e = " D i a g r a m D i s p l a y N o d e V i e w S t a t e " > < H e i g h t > 1 5 0 < / H e i g h t > < I s E x p a n d e d > t r u e < / I s E x p a n d e d > < W i d t h > 2 0 0 < / W i d t h > < / a : V a l u e > < / a : K e y V a l u e O f D i a g r a m O b j e c t K e y a n y T y p e z b w N T n L X > < a : K e y V a l u e O f D i a g r a m O b j e c t K e y a n y T y p e z b w N T n L X > < a : K e y > < K e y > T a b l e s \ C a n a s t a 2 0 2 4 \ C o l u m n s \ T V   a d i c i o n a l   * * * < / K e y > < / a : K e y > < a : V a l u e   i : t y p e = " D i a g r a m D i s p l a y N o d e V i e w S t a t e " > < H e i g h t > 1 5 0 < / H e i g h t > < I s E x p a n d e d > t r u e < / I s E x p a n d e d > < W i d t h > 2 0 0 < / W i d t h > < / a : V a l u e > < / a : K e y V a l u e O f D i a g r a m O b j e c t K e y a n y T y p e z b w N T n L X > < a : K e y V a l u e O f D i a g r a m O b j e c t K e y a n y T y p e z b w N T n L X > < a : K e y > < K e y > T a b l e s \ C a n a s t a 2 0 2 4 \ C o l u m n s \ C a r g o   p o r   i n s t a l a c i � n   * * * < / K e y > < / a : K e y > < a : V a l u e   i : t y p e = " D i a g r a m D i s p l a y N o d e V i e w S t a t e " > < H e i g h t > 1 5 0 < / H e i g h t > < I s E x p a n d e d > t r u e < / I s E x p a n d e d > < W i d t h > 2 0 0 < / W i d t h > < / a : V a l u e > < / a : K e y V a l u e O f D i a g r a m O b j e c t K e y a n y T y p e z b w N T n L X > < a : K e y V a l u e O f D i a g r a m O b j e c t K e y a n y T y p e z b w N T n L X > < a : K e y > < K e y > T a b l e s \ C a n a s t a 2 0 2 4 \ C o l u m n s \ E q u i p o   t e r m i n a l   ( M � d e m / O N T ) * * * < / K e y > < / a : K e y > < a : V a l u e   i : t y p e = " D i a g r a m D i s p l a y N o d e V i e w S t a t e " > < H e i g h t > 1 5 0 < / H e i g h t > < I s E x p a n d e d > t r u e < / I s E x p a n d e d > < W i d t h > 2 0 0 < / W i d t h > < / a : V a l u e > < / a : K e y V a l u e O f D i a g r a m O b j e c t K e y a n y T y p e z b w N T n L X > < a : K e y V a l u e O f D i a g r a m O b j e c t K e y a n y T y p e z b w N T n L X > < a : K e y > < K e y > T a b l e s \ C a n a s t a 2 0 2 4 \ C o l u m n s \ D e c o d i f i c a d o r   ( d i g i t a l )   * * * < / K e y > < / a : K e y > < a : V a l u e   i : t y p e = " D i a g r a m D i s p l a y N o d e V i e w S t a t e " > < H e i g h t > 1 5 0 < / H e i g h t > < I s E x p a n d e d > t r u e < / I s E x p a n d e d > < W i d t h > 2 0 0 < / W i d t h > < / a : V a l u e > < / a : K e y V a l u e O f D i a g r a m O b j e c t K e y a n y T y p e z b w N T n L X > < a : K e y V a l u e O f D i a g r a m O b j e c t K e y a n y T y p e z b w N T n L X > < a : K e y > < K e y > T a b l e s \ C a n a s t a 2 0 2 4 \ C o l u m n s \ X v i e w   +   /   X v i e w   * * * < / K e y > < / a : K e y > < a : V a l u e   i : t y p e = " D i a g r a m D i s p l a y N o d e V i e w S t a t e " > < H e i g h t > 1 5 0 < / H e i g h t > < I s E x p a n d e d > t r u e < / I s E x p a n d e d > < W i d t h > 2 0 0 < / W i d t h > < / a : V a l u e > < / a : K e y V a l u e O f D i a g r a m O b j e c t K e y a n y T y p e z b w N T n L X > < a : K e y V a l u e O f D i a g r a m O b j e c t K e y a n y T y p e z b w N T n L X > < a : K e y > < K e y > T a b l e s \ C a n a s t a 2 0 2 4 \ C o l u m n s \ S e r v i c i o   C l o u d     ( C l o u d   1 ,   C l o u d   2 )   * * * < / K e y > < / a : K e y > < a : V a l u e   i : t y p e = " D i a g r a m D i s p l a y N o d e V i e w S t a t e " > < H e i g h t > 1 5 0 < / H e i g h t > < I s E x p a n d e d > t r u e < / I s E x p a n d e d > < W i d t h > 2 0 0 < / W i d t h > < / a : V a l u e > < / a : K e y V a l u e O f D i a g r a m O b j e c t K e y a n y T y p e z b w N T n L X > < a : K e y V a l u e O f D i a g r a m O b j e c t K e y a n y T y p e z b w N T n L X > < a : K e y > < K e y > T a b l e s \ C a n a s t a 2 0 2 4 \ C o l u m n s \ M e g a   M � v i l   * * * < / K e y > < / a : K e y > < a : V a l u e   i : t y p e = " D i a g r a m D i s p l a y N o d e V i e w S t a t e " > < H e i g h t > 1 5 0 < / H e i g h t > < I s E x p a n d e d > t r u e < / I s E x p a n d e d > < W i d t h > 2 0 0 < / W i d t h > < / a : V a l u e > < / a : K e y V a l u e O f D i a g r a m O b j e c t K e y a n y T y p e z b w N T n L X > < a : K e y V a l u e O f D i a g r a m O b j e c t K e y a n y T y p e z b w N T n L X > < a : K e y > < K e y > T a b l e s \ C a n a s t a 2 0 2 4 \ C o l u m n s \ E x t e n s o r   M e s h   * * * < / K e y > < / a : K e y > < a : V a l u e   i : t y p e = " D i a g r a m D i s p l a y N o d e V i e w S t a t e " > < H e i g h t > 1 5 0 < / H e i g h t > < I s E x p a n d e d > t r u e < / I s E x p a n d e d > < W i d t h > 2 0 0 < / W i d t h > < / a : V a l u e > < / a : K e y V a l u e O f D i a g r a m O b j e c t K e y a n y T y p e z b w N T n L X > < a : K e y V a l u e O f D i a g r a m O b j e c t K e y a n y T y p e z b w N T n L X > < a : K e y > < K e y > T a b l e s \ C a n a s t a 2 0 2 4 \ C o l u m n s \ N o r t o n   S e c u r i t y   * * *   N o r t o n   F a m i l y   * * *   N o r t o n   S e c u r e   V P N   * * * < / K e y > < / a : K e y > < a : V a l u e   i : t y p e = " D i a g r a m D i s p l a y N o d e V i e w S t a t e " > < H e i g h t > 1 5 0 < / H e i g h t > < I s E x p a n d e d > t r u e < / I s E x p a n d e d > < W i d t h > 2 0 0 < / W i d t h > < / a : V a l u e > < / a : K e y V a l u e O f D i a g r a m O b j e c t K e y a n y T y p e z b w N T n L X > < a : K e y V a l u e O f D i a g r a m O b j e c t K e y a n y T y p e z b w N T n L X > < a : K e y > < K e y > T a b l e s \ C a n a s t a 2 0 2 4 \ C o l u m n s \ F o x   S p o r t   P r e m i u m   * * * * < / K e y > < / a : K e y > < a : V a l u e   i : t y p e = " D i a g r a m D i s p l a y N o d e V i e w S t a t e " > < H e i g h t > 1 5 0 < / H e i g h t > < I s E x p a n d e d > t r u e < / I s E x p a n d e d > < W i d t h > 2 0 0 < / W i d t h > < / a : V a l u e > < / a : K e y V a l u e O f D i a g r a m O b j e c t K e y a n y T y p e z b w N T n L X > < a : K e y V a l u e O f D i a g r a m O b j e c t K e y a n y T y p e z b w N T n L X > < a : K e y > < K e y > T a b l e s \ C a n a s t a 2 0 2 4 \ C o l u m n s \ N B A   L e a g u e   P a s s   * * * * < / K e y > < / a : K e y > < a : V a l u e   i : t y p e = " D i a g r a m D i s p l a y N o d e V i e w S t a t e " > < H e i g h t > 1 5 0 < / H e i g h t > < I s E x p a n d e d > t r u e < / I s E x p a n d e d > < W i d t h > 2 0 0 < / W i d t h > < / a : V a l u e > < / a : K e y V a l u e O f D i a g r a m O b j e c t K e y a n y T y p e z b w N T n L X > < a : K e y V a l u e O f D i a g r a m O b j e c t K e y a n y T y p e z b w N T n L X > < a : K e y > < K e y > T a b l e s \ C a n a s t a 2 0 2 4 \ C o l u m n s \ M B L   * * * * < / K e y > < / a : K e y > < a : V a l u e   i : t y p e = " D i a g r a m D i s p l a y N o d e V i e w S t a t e " > < H e i g h t > 1 5 0 < / H e i g h t > < I s E x p a n d e d > t r u e < / I s E x p a n d e d > < W i d t h > 2 0 0 < / W i d t h > < / a : V a l u e > < / a : K e y V a l u e O f D i a g r a m O b j e c t K e y a n y T y p e z b w N T n L X > < a : K e y V a l u e O f D i a g r a m O b j e c t K e y a n y T y p e z b w N T n L X > < a : K e y > < K e y > T a b l e s \ C a n a s t a 2 0 2 4 \ C o l u m n s \ O t r o s   I n c l u y a   l a s   c o l u m n a s   q u e   s e a n   n e c e s a r i a s < / K e y > < / a : K e y > < a : V a l u e   i : t y p e = " D i a g r a m D i s p l a y N o d e V i e w S t a t e " > < H e i g h t > 1 5 0 < / H e i g h t > < I s E x p a n d e d > t r u e < / I s E x p a n d e d > < W i d t h > 2 0 0 < / W i d t h > < / a : V a l u e > < / a : K e y V a l u e O f D i a g r a m O b j e c t K e y a n y T y p e z b w N T n L X > < a : K e y V a l u e O f D i a g r a m O b j e c t K e y a n y T y p e z b w N T n L X > < a : K e y > < K e y > T a b l e s \ T a r i f a s 2 0 2 4 < / K e y > < / a : K e y > < a : V a l u e   i : t y p e = " D i a g r a m D i s p l a y N o d e V i e w S t a t e " > < H e i g h t > 1 4 9 0 < / H e i g h t > < I s E x p a n d e d > t r u e < / I s E x p a n d e d > < L a y e d O u t > t r u e < / L a y e d O u t > < L e f t > 5 6 9 . 9 0 3 8 1 0 5 6 7 6 6 5 8 < / L e f t > < T a b I n d e x > 2 < / T a b I n d e x > < W i d t h > 2 6 2 < / W i d t h > < / a : V a l u e > < / a : K e y V a l u e O f D i a g r a m O b j e c t K e y a n y T y p e z b w N T n L X > < a : K e y V a l u e O f D i a g r a m O b j e c t K e y a n y T y p e z b w N T n L X > < a : K e y > < K e y > T a b l e s \ T a r i f a s 2 0 2 4 \ C o l u m n s \ N o m b r e   d e   P l a n / P a q u e t e < / K e y > < / a : K e y > < a : V a l u e   i : t y p e = " D i a g r a m D i s p l a y N o d e V i e w S t a t e " > < H e i g h t > 1 5 0 < / H e i g h t > < I s E x p a n d e d > t r u e < / I s E x p a n d e d > < W i d t h > 2 0 0 < / W i d t h > < / a : V a l u e > < / a : K e y V a l u e O f D i a g r a m O b j e c t K e y a n y T y p e z b w N T n L X > < a : K e y V a l u e O f D i a g r a m O b j e c t K e y a n y T y p e z b w N T n L X > < a : K e y > < K e y > T a b l e s \ T a r i f a s 2 0 2 4 \ C o l u m n s \ T i p o * < / K e y > < / a : K e y > < a : V a l u e   i : t y p e = " D i a g r a m D i s p l a y N o d e V i e w S t a t e " > < H e i g h t > 1 5 0 < / H e i g h t > < I s E x p a n d e d > t r u e < / I s E x p a n d e d > < W i d t h > 2 0 0 < / W i d t h > < / a : V a l u e > < / a : K e y V a l u e O f D i a g r a m O b j e c t K e y a n y T y p e z b w N T n L X > < a : K e y V a l u e O f D i a g r a m O b j e c t K e y a n y T y p e z b w N T n L X > < a : K e y > < K e y > T a b l e s \ T a r i f a s 2 0 2 4 \ C o l u m n s \ T i p o   d e   p a q u e t e   c o n s i d e r a n d o   S T A R   ( s e r v i c i o s   i n c l u i d o s ) * < / K e y > < / a : K e y > < a : V a l u e   i : t y p e = " D i a g r a m D i s p l a y N o d e V i e w S t a t e " > < H e i g h t > 1 5 0 < / H e i g h t > < I s E x p a n d e d > t r u e < / I s E x p a n d e d > < W i d t h > 2 0 0 < / W i d t h > < / a : V a l u e > < / a : K e y V a l u e O f D i a g r a m O b j e c t K e y a n y T y p e z b w N T n L X > < a : K e y V a l u e O f D i a g r a m O b j e c t K e y a n y T y p e z b w N T n L X > < a : K e y > < K e y > T a b l e s \ T a r i f a s 2 0 2 4 \ C o l u m n s \ E s q u e m a * < / K e y > < / a : K e y > < a : V a l u e   i : t y p e = " D i a g r a m D i s p l a y N o d e V i e w S t a t e " > < H e i g h t > 1 5 0 < / H e i g h t > < I s E x p a n d e d > t r u e < / I s E x p a n d e d > < W i d t h > 2 0 0 < / W i d t h > < / a : V a l u e > < / a : K e y V a l u e O f D i a g r a m O b j e c t K e y a n y T y p e z b w N T n L X > < a : K e y V a l u e O f D i a g r a m O b j e c t K e y a n y T y p e z b w N T n L X > < a : K e y > < K e y > T a b l e s \ T a r i f a s 2 0 2 4 \ C o l u m n s \ P e r i o d o   d e   p a g o < / K e y > < / a : K e y > < a : V a l u e   i : t y p e = " D i a g r a m D i s p l a y N o d e V i e w S t a t e " > < H e i g h t > 1 5 0 < / H e i g h t > < I s E x p a n d e d > t r u e < / I s E x p a n d e d > < W i d t h > 2 0 0 < / W i d t h > < / a : V a l u e > < / a : K e y V a l u e O f D i a g r a m O b j e c t K e y a n y T y p e z b w N T n L X > < a : K e y V a l u e O f D i a g r a m O b j e c t K e y a n y T y p e z b w N T n L X > < a : K e y > < K e y > T a b l e s \ T a r i f a s 2 0 2 4 \ C o l u m n s \ E s t a d o < / K e y > < / a : K e y > < a : V a l u e   i : t y p e = " D i a g r a m D i s p l a y N o d e V i e w S t a t e " > < H e i g h t > 1 5 0 < / H e i g h t > < I s E x p a n d e d > t r u e < / I s E x p a n d e d > < W i d t h > 2 0 0 < / W i d t h > < / a : V a l u e > < / a : K e y V a l u e O f D i a g r a m O b j e c t K e y a n y T y p e z b w N T n L X > < a : K e y V a l u e O f D i a g r a m O b j e c t K e y a n y T y p e z b w N T n L X > < a : K e y > < K e y > T a b l e s \ T a r i f a s 2 0 2 4 \ C o l u m n s \ M u n i c i p i o < / K e y > < / a : K e y > < a : V a l u e   i : t y p e = " D i a g r a m D i s p l a y N o d e V i e w S t a t e " > < H e i g h t > 1 5 0 < / H e i g h t > < I s E x p a n d e d > t r u e < / I s E x p a n d e d > < W i d t h > 2 0 0 < / W i d t h > < / a : V a l u e > < / a : K e y V a l u e O f D i a g r a m O b j e c t K e y a n y T y p e z b w N T n L X > < a : K e y V a l u e O f D i a g r a m O b j e c t K e y a n y T y p e z b w N T n L X > < a : K e y > < K e y > T a b l e s \ T a r i f a s 2 0 2 4 \ C o l u m n s \ L o c a l i d a d < / K e y > < / a : K e y > < a : V a l u e   i : t y p e = " D i a g r a m D i s p l a y N o d e V i e w S t a t e " > < H e i g h t > 1 5 0 < / H e i g h t > < I s E x p a n d e d > t r u e < / I s E x p a n d e d > < W i d t h > 2 0 0 < / W i d t h > < / a : V a l u e > < / a : K e y V a l u e O f D i a g r a m O b j e c t K e y a n y T y p e z b w N T n L X > < a : K e y V a l u e O f D i a g r a m O b j e c t K e y a n y T y p e z b w N T n L X > < a : K e y > < K e y > T a b l e s \ T a r i f a s 2 0 2 4 \ C o l u m n s \ F o l i o   R P C < / K e y > < / a : K e y > < a : V a l u e   i : t y p e = " D i a g r a m D i s p l a y N o d e V i e w S t a t e " > < H e i g h t > 1 5 0 < / H e i g h t > < I s E x p a n d e d > t r u e < / I s E x p a n d e d > < W i d t h > 2 0 0 < / W i d t h > < / a : V a l u e > < / a : K e y V a l u e O f D i a g r a m O b j e c t K e y a n y T y p e z b w N T n L X > < a : K e y V a l u e O f D i a g r a m O b j e c t K e y a n y T y p e z b w N T n L X > < a : K e y > < K e y > T a b l e s \ T a r i f a s 2 0 2 4 \ C o l u m n s \ R e n t a   m e n s u a l   ( s i n   i m p u e s t o s ) < / K e y > < / a : K e y > < a : V a l u e   i : t y p e = " D i a g r a m D i s p l a y N o d e V i e w S t a t e " > < H e i g h t > 1 5 0 < / H e i g h t > < I s E x p a n d e d > t r u e < / I s E x p a n d e d > < W i d t h > 2 0 0 < / W i d t h > < / a : V a l u e > < / a : K e y V a l u e O f D i a g r a m O b j e c t K e y a n y T y p e z b w N T n L X > < a : K e y V a l u e O f D i a g r a m O b j e c t K e y a n y T y p e z b w N T n L X > < a : K e y > < K e y > T a b l e s \ T a r i f a s 2 0 2 4 \ C o l u m n s \ R e n t a   m e n s u a l     ( c o n   i m p u e s t o s ) < / K e y > < / a : K e y > < a : V a l u e   i : t y p e = " D i a g r a m D i s p l a y N o d e V i e w S t a t e " > < H e i g h t > 1 5 0 < / H e i g h t > < I s E x p a n d e d > t r u e < / I s E x p a n d e d > < W i d t h > 2 0 0 < / W i d t h > < / a : V a l u e > < / a : K e y V a l u e O f D i a g r a m O b j e c t K e y a n y T y p e z b w N T n L X > < a : K e y V a l u e O f D i a g r a m O b j e c t K e y a n y T y p e z b w N T n L X > < a : K e y > < K e y > T a b l e s \ T a r i f a s 2 0 2 4 \ C o l u m n s \ � T i e n e   p r o m o c i o n e s   a s o c i a d a s   a l   p a q u e t e   q u e   a j u s t e n   l a   t a r i f a   d e   l a   r e n t a   m e n s u a l ?   ( S i / N o ) < / K e y > < / a : K e y > < a : V a l u e   i : t y p e = " D i a g r a m D i s p l a y N o d e V i e w S t a t e " > < H e i g h t > 1 5 0 < / H e i g h t > < I s E x p a n d e d > t r u e < / I s E x p a n d e d > < W i d t h > 2 0 0 < / W i d t h > < / a : V a l u e > < / a : K e y V a l u e O f D i a g r a m O b j e c t K e y a n y T y p e z b w N T n L X > < a : K e y V a l u e O f D i a g r a m O b j e c t K e y a n y T y p e z b w N T n L X > < a : K e y > < K e y > T a b l e s \ T a r i f a s 2 0 2 4 \ C o l u m n s \ P r o m o c i � n   d e   " D e s c u e n t o   d e   s u   m e n s u a l i d a d "   p o r   u n   p e r i o d o   e s p e c � f i c o < / K e y > < / a : K e y > < a : V a l u e   i : t y p e = " D i a g r a m D i s p l a y N o d e V i e w S t a t e " > < H e i g h t > 1 5 0 < / H e i g h t > < I s E x p a n d e d > t r u e < / I s E x p a n d e d > < W i d t h > 2 0 0 < / W i d t h > < / a : V a l u e > < / a : K e y V a l u e O f D i a g r a m O b j e c t K e y a n y T y p e z b w N T n L X > < a : K e y V a l u e O f D i a g r a m O b j e c t K e y a n y T y p e z b w N T n L X > < a : K e y > < K e y > T a b l e s \ T a r i f a s 2 0 2 4 \ C o l u m n s \ R e n t a   m e n u s u a l   c o n   t a r i f a   p r o m o c i o n a l   ( s i n   i m p u e s t o s ) < / K e y > < / a : K e y > < a : V a l u e   i : t y p e = " D i a g r a m D i s p l a y N o d e V i e w S t a t e " > < H e i g h t > 1 5 0 < / H e i g h t > < I s E x p a n d e d > t r u e < / I s E x p a n d e d > < W i d t h > 2 0 0 < / W i d t h > < / a : V a l u e > < / a : K e y V a l u e O f D i a g r a m O b j e c t K e y a n y T y p e z b w N T n L X > < a : K e y V a l u e O f D i a g r a m O b j e c t K e y a n y T y p e z b w N T n L X > < a : K e y > < K e y > T a b l e s \ T a r i f a s 2 0 2 4 \ C o l u m n s \ D u r a c i � n   d e   l a   p r o m o c i � n   ( e n   m e s e s ) < / K e y > < / a : K e y > < a : V a l u e   i : t y p e = " D i a g r a m D i s p l a y N o d e V i e w S t a t e " > < H e i g h t > 1 5 0 < / H e i g h t > < I s E x p a n d e d > t r u e < / I s E x p a n d e d > < W i d t h > 2 0 0 < / W i d t h > < / a : V a l u e > < / a : K e y V a l u e O f D i a g r a m O b j e c t K e y a n y T y p e z b w N T n L X > < a : K e y V a l u e O f D i a g r a m O b j e c t K e y a n y T y p e z b w N T n L X > < a : K e y > < K e y > T a b l e s \ T a r i f a s 2 0 2 4 \ C o l u m n s \ T � r m i n o s   y   c o n d i c i o n e s < / K e y > < / a : K e y > < a : V a l u e   i : t y p e = " D i a g r a m D i s p l a y N o d e V i e w S t a t e " > < H e i g h t > 1 5 0 < / H e i g h t > < I s E x p a n d e d > t r u e < / I s E x p a n d e d > < W i d t h > 2 0 0 < / W i d t h > < / a : V a l u e > < / a : K e y V a l u e O f D i a g r a m O b j e c t K e y a n y T y p e z b w N T n L X > < a : K e y V a l u e O f D i a g r a m O b j e c t K e y a n y T y p e z b w N T n L X > < a : K e y > < K e y > T a b l e s \ T a r i f a s 2 0 2 4 \ C o l u m n s \ P r o m o c i � n   p o r   " D o m i c i l i a c i � n "   d e   l a   r e n t a   m e n s u a l < / K e y > < / a : K e y > < a : V a l u e   i : t y p e = " D i a g r a m D i s p l a y N o d e V i e w S t a t e " > < H e i g h t > 1 5 0 < / H e i g h t > < I s E x p a n d e d > t r u e < / I s E x p a n d e d > < W i d t h > 2 0 0 < / W i d t h > < / a : V a l u e > < / a : K e y V a l u e O f D i a g r a m O b j e c t K e y a n y T y p e z b w N T n L X > < a : K e y V a l u e O f D i a g r a m O b j e c t K e y a n y T y p e z b w N T n L X > < a : K e y > < K e y > T a b l e s \ T a r i f a s 2 0 2 4 \ C o l u m n s \ R e n t a   m e n u s u a l   c o n   t a r i f a   p r o m o c i o n a l   ( s i n   i m p u e s t o s ) 2 < / K e y > < / a : K e y > < a : V a l u e   i : t y p e = " D i a g r a m D i s p l a y N o d e V i e w S t a t e " > < H e i g h t > 1 5 0 < / H e i g h t > < I s E x p a n d e d > t r u e < / I s E x p a n d e d > < W i d t h > 2 0 0 < / W i d t h > < / a : V a l u e > < / a : K e y V a l u e O f D i a g r a m O b j e c t K e y a n y T y p e z b w N T n L X > < a : K e y V a l u e O f D i a g r a m O b j e c t K e y a n y T y p e z b w N T n L X > < a : K e y > < K e y > T a b l e s \ T a r i f a s 2 0 2 4 \ C o l u m n s \ D u r a c i � n   d e   l a   p r o m o c i � n   ( e n   m e s e s ) 3 < / K e y > < / a : K e y > < a : V a l u e   i : t y p e = " D i a g r a m D i s p l a y N o d e V i e w S t a t e " > < H e i g h t > 1 5 0 < / H e i g h t > < I s E x p a n d e d > t r u e < / I s E x p a n d e d > < W i d t h > 2 0 0 < / W i d t h > < / a : V a l u e > < / a : K e y V a l u e O f D i a g r a m O b j e c t K e y a n y T y p e z b w N T n L X > < a : K e y V a l u e O f D i a g r a m O b j e c t K e y a n y T y p e z b w N T n L X > < a : K e y > < K e y > T a b l e s \ T a r i f a s 2 0 2 4 \ C o l u m n s \ T � r m i n o s   y   c o n d i c i o n e s 4 < / K e y > < / a : K e y > < a : V a l u e   i : t y p e = " D i a g r a m D i s p l a y N o d e V i e w S t a t e " > < H e i g h t > 1 5 0 < / H e i g h t > < I s E x p a n d e d > t r u e < / I s E x p a n d e d > < W i d t h > 2 0 0 < / W i d t h > < / a : V a l u e > < / a : K e y V a l u e O f D i a g r a m O b j e c t K e y a n y T y p e z b w N T n L X > < a : K e y V a l u e O f D i a g r a m O b j e c t K e y a n y T y p e z b w N T n L X > < a : K e y > < K e y > T a b l e s \ T a r i f a s 2 0 2 4 \ C o l u m n s \ P r o m o c i � n   p o r   " A n u a l i d a d " < / K e y > < / a : K e y > < a : V a l u e   i : t y p e = " D i a g r a m D i s p l a y N o d e V i e w S t a t e " > < H e i g h t > 1 5 0 < / H e i g h t > < I s E x p a n d e d > t r u e < / I s E x p a n d e d > < W i d t h > 2 0 0 < / W i d t h > < / a : V a l u e > < / a : K e y V a l u e O f D i a g r a m O b j e c t K e y a n y T y p e z b w N T n L X > < a : K e y V a l u e O f D i a g r a m O b j e c t K e y a n y T y p e z b w N T n L X > < a : K e y > < K e y > T a b l e s \ T a r i f a s 2 0 2 4 \ C o l u m n s \ R e n t a   m e n u s u a l   c o n   t a r i f a   p r o m o c i o n a l   ( s i n   i m p u e s t o s ) 5 < / K e y > < / a : K e y > < a : V a l u e   i : t y p e = " D i a g r a m D i s p l a y N o d e V i e w S t a t e " > < H e i g h t > 1 5 0 < / H e i g h t > < I s E x p a n d e d > t r u e < / I s E x p a n d e d > < W i d t h > 2 0 0 < / W i d t h > < / a : V a l u e > < / a : K e y V a l u e O f D i a g r a m O b j e c t K e y a n y T y p e z b w N T n L X > < a : K e y V a l u e O f D i a g r a m O b j e c t K e y a n y T y p e z b w N T n L X > < a : K e y > < K e y > T a b l e s \ T a r i f a s 2 0 2 4 \ C o l u m n s \ D u r a c i � n   d e   l a   p r o m o c i � n   ( e n   m e s e s ) 6 < / K e y > < / a : K e y > < a : V a l u e   i : t y p e = " D i a g r a m D i s p l a y N o d e V i e w S t a t e " > < H e i g h t > 1 5 0 < / H e i g h t > < I s E x p a n d e d > t r u e < / I s E x p a n d e d > < W i d t h > 2 0 0 < / W i d t h > < / a : V a l u e > < / a : K e y V a l u e O f D i a g r a m O b j e c t K e y a n y T y p e z b w N T n L X > < a : K e y V a l u e O f D i a g r a m O b j e c t K e y a n y T y p e z b w N T n L X > < a : K e y > < K e y > T a b l e s \ T a r i f a s 2 0 2 4 \ C o l u m n s \ T � r m i n o s   y   c o n d i c i o n e s 7 < / K e y > < / a : K e y > < a : V a l u e   i : t y p e = " D i a g r a m D i s p l a y N o d e V i e w S t a t e " > < H e i g h t > 1 5 0 < / H e i g h t > < I s E x p a n d e d > t r u e < / I s E x p a n d e d > < W i d t h > 2 0 0 < / W i d t h > < / a : V a l u e > < / a : K e y V a l u e O f D i a g r a m O b j e c t K e y a n y T y p e z b w N T n L X > < a : K e y V a l u e O f D i a g r a m O b j e c t K e y a n y T y p e z b w N T n L X > < a : K e y > < K e y > T a b l e s \ T a r i f a s 2 0 2 4 \ C o l u m n s \ P r o m o c i � n   p o r   " C l i e n t e   a c t u a l   d e   T V " < / K e y > < / a : K e y > < a : V a l u e   i : t y p e = " D i a g r a m D i s p l a y N o d e V i e w S t a t e " > < H e i g h t > 1 5 0 < / H e i g h t > < I s E x p a n d e d > t r u e < / I s E x p a n d e d > < W i d t h > 2 0 0 < / W i d t h > < / a : V a l u e > < / a : K e y V a l u e O f D i a g r a m O b j e c t K e y a n y T y p e z b w N T n L X > < a : K e y V a l u e O f D i a g r a m O b j e c t K e y a n y T y p e z b w N T n L X > < a : K e y > < K e y > T a b l e s \ T a r i f a s 2 0 2 4 \ C o l u m n s \ R e n t a   m e n u s u a l   c o n   t a r i f a   p r o m o c i o n a l   ( s i n   i m p u e s t o s ) 8 < / K e y > < / a : K e y > < a : V a l u e   i : t y p e = " D i a g r a m D i s p l a y N o d e V i e w S t a t e " > < H e i g h t > 1 5 0 < / H e i g h t > < I s E x p a n d e d > t r u e < / I s E x p a n d e d > < W i d t h > 2 0 0 < / W i d t h > < / a : V a l u e > < / a : K e y V a l u e O f D i a g r a m O b j e c t K e y a n y T y p e z b w N T n L X > < a : K e y V a l u e O f D i a g r a m O b j e c t K e y a n y T y p e z b w N T n L X > < a : K e y > < K e y > T a b l e s \ T a r i f a s 2 0 2 4 \ C o l u m n s \ D u r a c i � n   d e   l a   p r o m o c i � n   ( e n   m e s e s ) 9 < / K e y > < / a : K e y > < a : V a l u e   i : t y p e = " D i a g r a m D i s p l a y N o d e V i e w S t a t e " > < H e i g h t > 1 5 0 < / H e i g h t > < I s E x p a n d e d > t r u e < / I s E x p a n d e d > < W i d t h > 2 0 0 < / W i d t h > < / a : V a l u e > < / a : K e y V a l u e O f D i a g r a m O b j e c t K e y a n y T y p e z b w N T n L X > < a : K e y V a l u e O f D i a g r a m O b j e c t K e y a n y T y p e z b w N T n L X > < a : K e y > < K e y > T a b l e s \ T a r i f a s 2 0 2 4 \ C o l u m n s \ T � r m i n o s   y   c o n d i c i o n e s 1 0 < / K e y > < / a : K e y > < a : V a l u e   i : t y p e = " D i a g r a m D i s p l a y N o d e V i e w S t a t e " > < H e i g h t > 1 5 0 < / H e i g h t > < I s E x p a n d e d > t r u e < / I s E x p a n d e d > < W i d t h > 2 0 0 < / W i d t h > < / a : V a l u e > < / a : K e y V a l u e O f D i a g r a m O b j e c t K e y a n y T y p e z b w N T n L X > < a : K e y V a l u e O f D i a g r a m O b j e c t K e y a n y T y p e z b w N T n L X > < a : K e y > < K e y > T a b l e s \ T a r i f a s 2 0 2 4 \ C o l u m n s \ � C u e n t a   c o n   i n c e n t i v o s   p r o m o c i o n a l e s   p o r   l a   c o n t r a t a c i � n   d e   a l g � n   s e r v i c i o   O T T   q u e   a j u s t e   e l   m o n t o   d < / K e y > < / a : K e y > < a : V a l u e   i : t y p e = " D i a g r a m D i s p l a y N o d e V i e w S t a t e " > < H e i g h t > 1 5 0 < / H e i g h t > < I s E x p a n d e d > t r u e < / I s E x p a n d e d > < W i d t h > 2 0 0 < / W i d t h > < / a : V a l u e > < / a : K e y V a l u e O f D i a g r a m O b j e c t K e y a n y T y p e z b w N T n L X > < a : K e y V a l u e O f D i a g r a m O b j e c t K e y a n y T y p e z b w N T n L X > < a : K e y > < K e y > T a b l e s \ T a r i f a s 2 0 2 4 \ C o l u m n s \ T a r i f a   N e t f l i x   E s t � n d a r   c o n   a n u n c i o s   ( s i n   i m p u e s t o s ) < / K e y > < / a : K e y > < a : V a l u e   i : t y p e = " D i a g r a m D i s p l a y N o d e V i e w S t a t e " > < H e i g h t > 1 5 0 < / H e i g h t > < I s E x p a n d e d > t r u e < / I s E x p a n d e d > < W i d t h > 2 0 0 < / W i d t h > < / a : V a l u e > < / a : K e y V a l u e O f D i a g r a m O b j e c t K e y a n y T y p e z b w N T n L X > < a : K e y V a l u e O f D i a g r a m O b j e c t K e y a n y T y p e z b w N T n L X > < a : K e y > < K e y > T a b l e s \ T a r i f a s 2 0 2 4 \ C o l u m n s \ R e n t a   m e n u s u a l   p r o m o c i o n a l   p o r   l a   c o n t r a t a c i � n   d e l   N e t f l i x   E s t � n d a r   c o n   a n u n c i o s   ( s i n   i m p u e s t o s ) < / K e y > < / a : K e y > < a : V a l u e   i : t y p e = " D i a g r a m D i s p l a y N o d e V i e w S t a t e " > < H e i g h t > 1 5 0 < / H e i g h t > < I s E x p a n d e d > t r u e < / I s E x p a n d e d > < W i d t h > 2 0 0 < / W i d t h > < / a : V a l u e > < / a : K e y V a l u e O f D i a g r a m O b j e c t K e y a n y T y p e z b w N T n L X > < a : K e y V a l u e O f D i a g r a m O b j e c t K e y a n y T y p e z b w N T n L X > < a : K e y > < K e y > T a b l e s \ T a r i f a s 2 0 2 4 \ C o l u m n s \ T � r m i n o s   y   c o n d i c i o n e s 1 1 < / K e y > < / a : K e y > < a : V a l u e   i : t y p e = " D i a g r a m D i s p l a y N o d e V i e w S t a t e " > < H e i g h t > 1 5 0 < / H e i g h t > < I s E x p a n d e d > t r u e < / I s E x p a n d e d > < W i d t h > 2 0 0 < / W i d t h > < / a : V a l u e > < / a : K e y V a l u e O f D i a g r a m O b j e c t K e y a n y T y p e z b w N T n L X > < a : K e y V a l u e O f D i a g r a m O b j e c t K e y a n y T y p e z b w N T n L X > < a : K e y > < K e y > T a b l e s \ T a r i f a s 2 0 2 4 \ C o l u m n s \ T a r i f a   N e t f l i x   E s t � n d a r   ( s i n   i m p u e s t o s ) < / K e y > < / a : K e y > < a : V a l u e   i : t y p e = " D i a g r a m D i s p l a y N o d e V i e w S t a t e " > < H e i g h t > 1 5 0 < / H e i g h t > < I s E x p a n d e d > t r u e < / I s E x p a n d e d > < W i d t h > 2 0 0 < / W i d t h > < / a : V a l u e > < / a : K e y V a l u e O f D i a g r a m O b j e c t K e y a n y T y p e z b w N T n L X > < a : K e y V a l u e O f D i a g r a m O b j e c t K e y a n y T y p e z b w N T n L X > < a : K e y > < K e y > T a b l e s \ T a r i f a s 2 0 2 4 \ C o l u m n s \ R e n t a   m e n u s u a l   p r o m o c i o n a l   p o r   l a   c o n t r a t a c i � n   d e l   N e t f l i x   E s t � n d a r   ( s i n   i m p u e s t o s ) < / K e y > < / a : K e y > < a : V a l u e   i : t y p e = " D i a g r a m D i s p l a y N o d e V i e w S t a t e " > < H e i g h t > 1 5 0 < / H e i g h t > < I s E x p a n d e d > t r u e < / I s E x p a n d e d > < W i d t h > 2 0 0 < / W i d t h > < / a : V a l u e > < / a : K e y V a l u e O f D i a g r a m O b j e c t K e y a n y T y p e z b w N T n L X > < a : K e y V a l u e O f D i a g r a m O b j e c t K e y a n y T y p e z b w N T n L X > < a : K e y > < K e y > T a b l e s \ T a r i f a s 2 0 2 4 \ C o l u m n s \ T � r m i n o s   y   c o n d i c i o n e s 1 2 < / K e y > < / a : K e y > < a : V a l u e   i : t y p e = " D i a g r a m D i s p l a y N o d e V i e w S t a t e " > < H e i g h t > 1 5 0 < / H e i g h t > < I s E x p a n d e d > t r u e < / I s E x p a n d e d > < W i d t h > 2 0 0 < / W i d t h > < / a : V a l u e > < / a : K e y V a l u e O f D i a g r a m O b j e c t K e y a n y T y p e z b w N T n L X > < a : K e y V a l u e O f D i a g r a m O b j e c t K e y a n y T y p e z b w N T n L X > < a : K e y > < K e y > T a b l e s \ T a r i f a s 2 0 2 4 \ C o l u m n s \ T a r i f a   N e t f l i x   P r e m i u m   ( s i n   i m p u e s t o s ) < / K e y > < / a : K e y > < a : V a l u e   i : t y p e = " D i a g r a m D i s p l a y N o d e V i e w S t a t e " > < H e i g h t > 1 5 0 < / H e i g h t > < I s E x p a n d e d > t r u e < / I s E x p a n d e d > < W i d t h > 2 0 0 < / W i d t h > < / a : V a l u e > < / a : K e y V a l u e O f D i a g r a m O b j e c t K e y a n y T y p e z b w N T n L X > < a : K e y V a l u e O f D i a g r a m O b j e c t K e y a n y T y p e z b w N T n L X > < a : K e y > < K e y > T a b l e s \ T a r i f a s 2 0 2 4 \ C o l u m n s \ R e n t a   m e n u s u a l   p r o m o c i o n a l   p o r   l a   c o n t r a t a c i � n   d e l   N e t f l i x   P r e m i u m   ( s i n   i m p u e s t o s ) < / K e y > < / a : K e y > < a : V a l u e   i : t y p e = " D i a g r a m D i s p l a y N o d e V i e w S t a t e " > < H e i g h t > 1 5 0 < / H e i g h t > < I s E x p a n d e d > t r u e < / I s E x p a n d e d > < W i d t h > 2 0 0 < / W i d t h > < / a : V a l u e > < / a : K e y V a l u e O f D i a g r a m O b j e c t K e y a n y T y p e z b w N T n L X > < a : K e y V a l u e O f D i a g r a m O b j e c t K e y a n y T y p e z b w N T n L X > < a : K e y > < K e y > T a b l e s \ T a r i f a s 2 0 2 4 \ C o l u m n s \ T � r m i n o s   y   c o n d i c i o n e s 1 3 < / K e y > < / a : K e y > < a : V a l u e   i : t y p e = " D i a g r a m D i s p l a y N o d e V i e w S t a t e " > < H e i g h t > 1 5 0 < / H e i g h t > < I s E x p a n d e d > t r u e < / I s E x p a n d e d > < W i d t h > 2 0 0 < / W i d t h > < / a : V a l u e > < / a : K e y V a l u e O f D i a g r a m O b j e c t K e y a n y T y p e z b w N T n L X > < a : K e y V a l u e O f D i a g r a m O b j e c t K e y a n y T y p e z b w N T n L X > < a : K e y > < K e y > T a b l e s \ T a r i f a s 2 0 2 4 \ C o l u m n s \ T a r i f a   A m a z o n   P r i m e   ( s i n   i m p u e s t o s ) < / K e y > < / a : K e y > < a : V a l u e   i : t y p e = " D i a g r a m D i s p l a y N o d e V i e w S t a t e " > < H e i g h t > 1 5 0 < / H e i g h t > < I s E x p a n d e d > t r u e < / I s E x p a n d e d > < W i d t h > 2 0 0 < / W i d t h > < / a : V a l u e > < / a : K e y V a l u e O f D i a g r a m O b j e c t K e y a n y T y p e z b w N T n L X > < a : K e y V a l u e O f D i a g r a m O b j e c t K e y a n y T y p e z b w N T n L X > < a : K e y > < K e y > T a b l e s \ T a r i f a s 2 0 2 4 \ C o l u m n s \ R e n t a   m e n u s u a l   p r o m o c i o n a l   p o r   l a   c o n t r a t a c i � n   P r i m e   V i d e o   ( s i n   i m p u e s t o s ) < / K e y > < / a : K e y > < a : V a l u e   i : t y p e = " D i a g r a m D i s p l a y N o d e V i e w S t a t e " > < H e i g h t > 1 5 0 < / H e i g h t > < I s E x p a n d e d > t r u e < / I s E x p a n d e d > < W i d t h > 2 0 0 < / W i d t h > < / a : V a l u e > < / a : K e y V a l u e O f D i a g r a m O b j e c t K e y a n y T y p e z b w N T n L X > < a : K e y V a l u e O f D i a g r a m O b j e c t K e y a n y T y p e z b w N T n L X > < a : K e y > < K e y > T a b l e s \ T a r i f a s 2 0 2 4 \ C o l u m n s \ T � r m i n o s   y   c o n d i c i o n e s 1 4 < / K e y > < / a : K e y > < a : V a l u e   i : t y p e = " D i a g r a m D i s p l a y N o d e V i e w S t a t e " > < H e i g h t > 1 5 0 < / H e i g h t > < I s E x p a n d e d > t r u e < / I s E x p a n d e d > < W i d t h > 2 0 0 < / W i d t h > < / a : V a l u e > < / a : K e y V a l u e O f D i a g r a m O b j e c t K e y a n y T y p e z b w N T n L X > < a : K e y V a l u e O f D i a g r a m O b j e c t K e y a n y T y p e z b w N T n L X > < a : K e y > < K e y > T a b l e s \ T a r i f a s 2 0 2 4 \ C o l u m n s \ T a r i f a   m a x     ( s i n   i m p u e s t o s ) < / K e y > < / a : K e y > < a : V a l u e   i : t y p e = " D i a g r a m D i s p l a y N o d e V i e w S t a t e " > < H e i g h t > 1 5 0 < / H e i g h t > < I s E x p a n d e d > t r u e < / I s E x p a n d e d > < W i d t h > 2 0 0 < / W i d t h > < / a : V a l u e > < / a : K e y V a l u e O f D i a g r a m O b j e c t K e y a n y T y p e z b w N T n L X > < a : K e y V a l u e O f D i a g r a m O b j e c t K e y a n y T y p e z b w N T n L X > < a : K e y > < K e y > T a b l e s \ T a r i f a s 2 0 2 4 \ C o l u m n s \ R e n t a   m e n u s u a l   p r o m o c i o n a l   p o r   l a   c o n t r a t a c i � n   m a x     ( s i n   i m p u e s t o s ) < / K e y > < / a : K e y > < a : V a l u e   i : t y p e = " D i a g r a m D i s p l a y N o d e V i e w S t a t e " > < H e i g h t > 1 5 0 < / H e i g h t > < I s E x p a n d e d > t r u e < / I s E x p a n d e d > < W i d t h > 2 0 0 < / W i d t h > < / a : V a l u e > < / a : K e y V a l u e O f D i a g r a m O b j e c t K e y a n y T y p e z b w N T n L X > < a : K e y V a l u e O f D i a g r a m O b j e c t K e y a n y T y p e z b w N T n L X > < a : K e y > < K e y > T a b l e s \ T a r i f a s 2 0 2 4 \ C o l u m n s \ T � r m i n o s   y   c o n d i c i o n e s 1 5 < / K e y > < / a : K e y > < a : V a l u e   i : t y p e = " D i a g r a m D i s p l a y N o d e V i e w S t a t e " > < H e i g h t > 1 5 0 < / H e i g h t > < I s E x p a n d e d > t r u e < / I s E x p a n d e d > < W i d t h > 2 0 0 < / W i d t h > < / a : V a l u e > < / a : K e y V a l u e O f D i a g r a m O b j e c t K e y a n y T y p e z b w N T n L X > < a : K e y V a l u e O f D i a g r a m O b j e c t K e y a n y T y p e z b w N T n L X > < a : K e y > < K e y > T a b l e s \ T a r i f a s 2 0 2 4 \ C o l u m n s \ T a r i f a   P a r a m o u n t   +   ( s i n   i m p u e s t o s ) < / K e y > < / a : K e y > < a : V a l u e   i : t y p e = " D i a g r a m D i s p l a y N o d e V i e w S t a t e " > < H e i g h t > 1 5 0 < / H e i g h t > < I s E x p a n d e d > t r u e < / I s E x p a n d e d > < W i d t h > 2 0 0 < / W i d t h > < / a : V a l u e > < / a : K e y V a l u e O f D i a g r a m O b j e c t K e y a n y T y p e z b w N T n L X > < a : K e y V a l u e O f D i a g r a m O b j e c t K e y a n y T y p e z b w N T n L X > < a : K e y > < K e y > T a b l e s \ T a r i f a s 2 0 2 4 \ C o l u m n s \ R e n t a   m e n u s u a l   p r o m o c i o n a l   p o r   l a   c o n t r a t a c i � n   P a r a m o u n t   +   ( s i n   i m p u e s t o s ) < / K e y > < / a : K e y > < a : V a l u e   i : t y p e = " D i a g r a m D i s p l a y N o d e V i e w S t a t e " > < H e i g h t > 1 5 0 < / H e i g h t > < I s E x p a n d e d > t r u e < / I s E x p a n d e d > < W i d t h > 2 0 0 < / W i d t h > < / a : V a l u e > < / a : K e y V a l u e O f D i a g r a m O b j e c t K e y a n y T y p e z b w N T n L X > < a : K e y V a l u e O f D i a g r a m O b j e c t K e y a n y T y p e z b w N T n L X > < a : K e y > < K e y > T a b l e s \ T a r i f a s 2 0 2 4 \ C o l u m n s \ T � r m i n o s   y   c o n d i c i o n e s 1 6 < / K e y > < / a : K e y > < a : V a l u e   i : t y p e = " D i a g r a m D i s p l a y N o d e V i e w S t a t e " > < H e i g h t > 1 5 0 < / H e i g h t > < I s E x p a n d e d > t r u e < / I s E x p a n d e d > < W i d t h > 2 0 0 < / W i d t h > < / a : V a l u e > < / a : K e y V a l u e O f D i a g r a m O b j e c t K e y a n y T y p e z b w N T n L X > < a : K e y V a l u e O f D i a g r a m O b j e c t K e y a n y T y p e z b w N T n L X > < a : K e y > < K e y > T a b l e s \ T a r i f a s 2 0 2 4 \ C o l u m n s \ T a r i f a   D i s n e y   +     ( s i n   i m p u e s t o s ) < / K e y > < / a : K e y > < a : V a l u e   i : t y p e = " D i a g r a m D i s p l a y N o d e V i e w S t a t e " > < H e i g h t > 1 5 0 < / H e i g h t > < I s E x p a n d e d > t r u e < / I s E x p a n d e d > < W i d t h > 2 0 0 < / W i d t h > < / a : V a l u e > < / a : K e y V a l u e O f D i a g r a m O b j e c t K e y a n y T y p e z b w N T n L X > < a : K e y V a l u e O f D i a g r a m O b j e c t K e y a n y T y p e z b w N T n L X > < a : K e y > < K e y > T a b l e s \ T a r i f a s 2 0 2 4 \ C o l u m n s \ R e n t a   m e n u s u a l   p r o m o c i o n a l   p o r   l a   c o n t r a t a c i � n   D i s n e y   +     ( s i n   i m p u e s t o s ) < / K e y > < / a : K e y > < a : V a l u e   i : t y p e = " D i a g r a m D i s p l a y N o d e V i e w S t a t e " > < H e i g h t > 1 5 0 < / H e i g h t > < I s E x p a n d e d > t r u e < / I s E x p a n d e d > < W i d t h > 2 0 0 < / W i d t h > < / a : V a l u e > < / a : K e y V a l u e O f D i a g r a m O b j e c t K e y a n y T y p e z b w N T n L X > < a : K e y V a l u e O f D i a g r a m O b j e c t K e y a n y T y p e z b w N T n L X > < a : K e y > < K e y > T a b l e s \ T a r i f a s 2 0 2 4 \ C o l u m n s \ T � r m i n o s   y   c o n d i c i o n e s 1 7 < / K e y > < / a : K e y > < a : V a l u e   i : t y p e = " D i a g r a m D i s p l a y N o d e V i e w S t a t e " > < H e i g h t > 1 5 0 < / H e i g h t > < I s E x p a n d e d > t r u e < / I s E x p a n d e d > < W i d t h > 2 0 0 < / W i d t h > < / a : V a l u e > < / a : K e y V a l u e O f D i a g r a m O b j e c t K e y a n y T y p e z b w N T n L X > < a : K e y V a l u e O f D i a g r a m O b j e c t K e y a n y T y p e z b w N T n L X > < a : K e y > < K e y > T a b l e s \ T a r i f a s 2 0 2 4 \ C o l u m n s \ T a r i f a   S t a r   +     ( s i n   i m p u e s t o s ) < / K e y > < / a : K e y > < a : V a l u e   i : t y p e = " D i a g r a m D i s p l a y N o d e V i e w S t a t e " > < H e i g h t > 1 5 0 < / H e i g h t > < I s E x p a n d e d > t r u e < / I s E x p a n d e d > < W i d t h > 2 0 0 < / W i d t h > < / a : V a l u e > < / a : K e y V a l u e O f D i a g r a m O b j e c t K e y a n y T y p e z b w N T n L X > < a : K e y V a l u e O f D i a g r a m O b j e c t K e y a n y T y p e z b w N T n L X > < a : K e y > < K e y > T a b l e s \ T a r i f a s 2 0 2 4 \ C o l u m n s \ R e n t a   m e n u s u a l   p r o m o c i o n a l   p o r   l a   c o n t r a t a c i � n   S t a r   +     ( s i n   i m p u e s t o s ) < / K e y > < / a : K e y > < a : V a l u e   i : t y p e = " D i a g r a m D i s p l a y N o d e V i e w S t a t e " > < H e i g h t > 1 5 0 < / H e i g h t > < I s E x p a n d e d > t r u e < / I s E x p a n d e d > < W i d t h > 2 0 0 < / W i d t h > < / a : V a l u e > < / a : K e y V a l u e O f D i a g r a m O b j e c t K e y a n y T y p e z b w N T n L X > < a : K e y V a l u e O f D i a g r a m O b j e c t K e y a n y T y p e z b w N T n L X > < a : K e y > < K e y > T a b l e s \ T a r i f a s 2 0 2 4 \ C o l u m n s \ T � r m i n o s   y   c o n d i c i o n e s 1 8 < / K e y > < / a : K e y > < a : V a l u e   i : t y p e = " D i a g r a m D i s p l a y N o d e V i e w S t a t e " > < H e i g h t > 1 5 0 < / H e i g h t > < I s E x p a n d e d > t r u e < / I s E x p a n d e d > < W i d t h > 2 0 0 < / W i d t h > < / a : V a l u e > < / a : K e y V a l u e O f D i a g r a m O b j e c t K e y a n y T y p e z b w N T n L X > < a : K e y V a l u e O f D i a g r a m O b j e c t K e y a n y T y p e z b w N T n L X > < a : K e y > < K e y > T a b l e s \ T a r i f a s 2 0 2 4 \ C o l u m n s \ T a r i f a   C o m b o   +   ( s i n   i m p u e s t o s ) < / K e y > < / a : K e y > < a : V a l u e   i : t y p e = " D i a g r a m D i s p l a y N o d e V i e w S t a t e " > < H e i g h t > 1 5 0 < / H e i g h t > < I s E x p a n d e d > t r u e < / I s E x p a n d e d > < W i d t h > 2 0 0 < / W i d t h > < / a : V a l u e > < / a : K e y V a l u e O f D i a g r a m O b j e c t K e y a n y T y p e z b w N T n L X > < a : K e y V a l u e O f D i a g r a m O b j e c t K e y a n y T y p e z b w N T n L X > < a : K e y > < K e y > T a b l e s \ T a r i f a s 2 0 2 4 \ C o l u m n s \ R e n t a   m e n u s u a l   p r o m o c i o n a l   p o r   l a   c o n t r a t a c i � n   C o m b o   ( s i n   i m p u e s t o s ) < / K e y > < / a : K e y > < a : V a l u e   i : t y p e = " D i a g r a m D i s p l a y N o d e V i e w S t a t e " > < H e i g h t > 1 5 0 < / H e i g h t > < I s E x p a n d e d > t r u e < / I s E x p a n d e d > < W i d t h > 2 0 0 < / W i d t h > < / a : V a l u e > < / a : K e y V a l u e O f D i a g r a m O b j e c t K e y a n y T y p e z b w N T n L X > < a : K e y V a l u e O f D i a g r a m O b j e c t K e y a n y T y p e z b w N T n L X > < a : K e y > < K e y > T a b l e s \ T a r i f a s 2 0 2 4 \ C o l u m n s \ T � r m i n o s   y   c o n d i c i o n e s 1 9 < / K e y > < / a : K e y > < a : V a l u e   i : t y p e = " D i a g r a m D i s p l a y N o d e V i e w S t a t e " > < H e i g h t > 1 5 0 < / H e i g h t > < I s E x p a n d e d > t r u e < / I s E x p a n d e d > < W i d t h > 2 0 0 < / W i d t h > < / a : V a l u e > < / a : K e y V a l u e O f D i a g r a m O b j e c t K e y a n y T y p e z b w N T n L X > < a : K e y V a l u e O f D i a g r a m O b j e c t K e y a n y T y p e z b w N T n L X > < a : K e y > < K e y > T a b l e s \ T a r i f a s 2 0 2 4 \ C o l u m n s \ T a r i f a   F o x   S p o r t   P r e m i u m     ( s i n   i m p u e s t o s ) < / K e y > < / a : K e y > < a : V a l u e   i : t y p e = " D i a g r a m D i s p l a y N o d e V i e w S t a t e " > < H e i g h t > 1 5 0 < / H e i g h t > < I s E x p a n d e d > t r u e < / I s E x p a n d e d > < W i d t h > 2 0 0 < / W i d t h > < / a : V a l u e > < / a : K e y V a l u e O f D i a g r a m O b j e c t K e y a n y T y p e z b w N T n L X > < a : K e y V a l u e O f D i a g r a m O b j e c t K e y a n y T y p e z b w N T n L X > < a : K e y > < K e y > T a b l e s \ T a r i f a s 2 0 2 4 \ C o l u m n s \ R e n t a   m e n u s u a l   p r o m o c i o n a l   p o r   l a   c o n t r a t a c i � n   F o x   S p o r t   P r e m i u m   ( s i n   i m p u e s t o s ) < / K e y > < / a : K e y > < a : V a l u e   i : t y p e = " D i a g r a m D i s p l a y N o d e V i e w S t a t e " > < H e i g h t > 1 5 0 < / H e i g h t > < I s E x p a n d e d > t r u e < / I s E x p a n d e d > < W i d t h > 2 0 0 < / W i d t h > < / a : V a l u e > < / a : K e y V a l u e O f D i a g r a m O b j e c t K e y a n y T y p e z b w N T n L X > < a : K e y V a l u e O f D i a g r a m O b j e c t K e y a n y T y p e z b w N T n L X > < a : K e y > < K e y > T a b l e s \ T a r i f a s 2 0 2 4 \ C o l u m n s \ T � r m i n o s   y   c o n d i c i o n e s 2 0 < / K e y > < / a : K e y > < a : V a l u e   i : t y p e = " D i a g r a m D i s p l a y N o d e V i e w S t a t e " > < H e i g h t > 1 5 0 < / H e i g h t > < I s E x p a n d e d > t r u e < / I s E x p a n d e d > < W i d t h > 2 0 0 < / W i d t h > < / a : V a l u e > < / a : K e y V a l u e O f D i a g r a m O b j e c t K e y a n y T y p e z b w N T n L X > < a : K e y V a l u e O f D i a g r a m O b j e c t K e y a n y T y p e z b w N T n L X > < a : K e y > < K e y > T a b l e s \ T a r i f a s 2 0 2 4 \ M e a s u r e s \ S u m a   d e   R e n t a   m e n s u a l   ( s i n   i m p u e s t o s )   2 < / K e y > < / a : K e y > < a : V a l u e   i : t y p e = " D i a g r a m D i s p l a y N o d e V i e w S t a t e " > < H e i g h t > 1 5 0 < / H e i g h t > < I s E x p a n d e d > t r u e < / I s E x p a n d e d > < W i d t h > 2 0 0 < / W i d t h > < / a : V a l u e > < / a : K e y V a l u e O f D i a g r a m O b j e c t K e y a n y T y p e z b w N T n L X > < a : K e y V a l u e O f D i a g r a m O b j e c t K e y a n y T y p e z b w N T n L X > < a : K e y > < K e y > T a b l e s \ T a r i f a s 2 0 2 4 \ S u m a   d e   R e n t a   m e n s u a l   ( s i n   i m p u e s t o s )   2 \ A d d i t i o n a l   I n f o \ M e d i d a   i m p l � c i t a < / K e y > < / a : K e y > < a : V a l u e   i : t y p e = " D i a g r a m D i s p l a y V i e w S t a t e I D i a g r a m T a g A d d i t i o n a l I n f o " / > < / a : K e y V a l u e O f D i a g r a m O b j e c t K e y a n y T y p e z b w N T n L X > < a : K e y V a l u e O f D i a g r a m O b j e c t K e y a n y T y p e z b w N T n L X > < a : K e y > < K e y > T a b l e s \ C a n a s t a 2 0 2 3 < / K e y > < / a : K e y > < a : V a l u e   i : t y p e = " D i a g r a m D i s p l a y N o d e V i e w S t a t e " > < H e i g h t > 1 6 5 0 < / H e i g h t > < I s E x p a n d e d > t r u e < / I s E x p a n d e d > < L a y e d O u t > t r u e < / L a y e d O u t > < L e f t > 8 4 0 . 8 0 7 6 2 1 1 3 5 3 3 1 6 < / L e f t > < S c r o l l V e r t i c a l O f f s e t > 0 . 4 2 6 6 6 6 6 6 6 6 6 8 0 9 7 6 < / S c r o l l V e r t i c a l O f f s e t > < T a b I n d e x > 3 < / T a b I n d e x > < W i d t h > 3 6 0 < / W i d t h > < / a : V a l u e > < / a : K e y V a l u e O f D i a g r a m O b j e c t K e y a n y T y p e z b w N T n L X > < a : K e y V a l u e O f D i a g r a m O b j e c t K e y a n y T y p e z b w N T n L X > < a : K e y > < K e y > T a b l e s \ C a n a s t a 2 0 2 3 \ C o l u m n s \ N o m b r e   d e   P l a n / P a q u e t e < / K e y > < / a : K e y > < a : V a l u e   i : t y p e = " D i a g r a m D i s p l a y N o d e V i e w S t a t e " > < H e i g h t > 1 5 0 < / H e i g h t > < I s E x p a n d e d > t r u e < / I s E x p a n d e d > < W i d t h > 2 0 0 < / W i d t h > < / a : V a l u e > < / a : K e y V a l u e O f D i a g r a m O b j e c t K e y a n y T y p e z b w N T n L X > < a : K e y V a l u e O f D i a g r a m O b j e c t K e y a n y T y p e z b w N T n L X > < a : K e y > < K e y > T a b l e s \ C a n a s t a 2 0 2 3 \ C o l u m n s \ T i p o * < / K e y > < / a : K e y > < a : V a l u e   i : t y p e = " D i a g r a m D i s p l a y N o d e V i e w S t a t e " > < H e i g h t > 1 5 0 < / H e i g h t > < I s E x p a n d e d > t r u e < / I s E x p a n d e d > < W i d t h > 2 0 0 < / W i d t h > < / a : V a l u e > < / a : K e y V a l u e O f D i a g r a m O b j e c t K e y a n y T y p e z b w N T n L X > < a : K e y V a l u e O f D i a g r a m O b j e c t K e y a n y T y p e z b w N T n L X > < a : K e y > < K e y > T a b l e s \ C a n a s t a 2 0 2 3 \ C o l u m n s \ T i p o   d e   p a q u e t e   c o n s i d e r a n d o   S T A R   ( s e r v i c i o s   i n c l u i d o s ) * < / K e y > < / a : K e y > < a : V a l u e   i : t y p e = " D i a g r a m D i s p l a y N o d e V i e w S t a t e " > < H e i g h t > 1 5 0 < / H e i g h t > < I s E x p a n d e d > t r u e < / I s E x p a n d e d > < W i d t h > 2 0 0 < / W i d t h > < / a : V a l u e > < / a : K e y V a l u e O f D i a g r a m O b j e c t K e y a n y T y p e z b w N T n L X > < a : K e y V a l u e O f D i a g r a m O b j e c t K e y a n y T y p e z b w N T n L X > < a : K e y > < K e y > T a b l e s \ C a n a s t a 2 0 2 3 \ C o l u m n s \ E s t a d o < / K e y > < / a : K e y > < a : V a l u e   i : t y p e = " D i a g r a m D i s p l a y N o d e V i e w S t a t e " > < H e i g h t > 1 5 0 < / H e i g h t > < I s E x p a n d e d > t r u e < / I s E x p a n d e d > < W i d t h > 2 0 0 < / W i d t h > < / a : V a l u e > < / a : K e y V a l u e O f D i a g r a m O b j e c t K e y a n y T y p e z b w N T n L X > < a : K e y V a l u e O f D i a g r a m O b j e c t K e y a n y T y p e z b w N T n L X > < a : K e y > < K e y > T a b l e s \ C a n a s t a 2 0 2 3 \ C o l u m n s \ M u n i c i p i o < / K e y > < / a : K e y > < a : V a l u e   i : t y p e = " D i a g r a m D i s p l a y N o d e V i e w S t a t e " > < H e i g h t > 1 5 0 < / H e i g h t > < I s E x p a n d e d > t r u e < / I s E x p a n d e d > < W i d t h > 2 0 0 < / W i d t h > < / a : V a l u e > < / a : K e y V a l u e O f D i a g r a m O b j e c t K e y a n y T y p e z b w N T n L X > < a : K e y V a l u e O f D i a g r a m O b j e c t K e y a n y T y p e z b w N T n L X > < a : K e y > < K e y > T a b l e s \ C a n a s t a 2 0 2 3 \ C o l u m n s \ L o c a l i d a d < / K e y > < / a : K e y > < a : V a l u e   i : t y p e = " D i a g r a m D i s p l a y N o d e V i e w S t a t e " > < H e i g h t > 1 5 0 < / H e i g h t > < I s E x p a n d e d > t r u e < / I s E x p a n d e d > < W i d t h > 2 0 0 < / W i d t h > < / a : V a l u e > < / a : K e y V a l u e O f D i a g r a m O b j e c t K e y a n y T y p e z b w N T n L X > < a : K e y V a l u e O f D i a g r a m O b j e c t K e y a n y T y p e z b w N T n L X > < a : K e y > < K e y > T a b l e s \ C a n a s t a 2 0 2 3 \ C o l u m n s \ F o l i o   R P C < / K e y > < / a : K e y > < a : V a l u e   i : t y p e = " D i a g r a m D i s p l a y N o d e V i e w S t a t e " > < H e i g h t > 1 5 0 < / H e i g h t > < I s E x p a n d e d > t r u e < / I s E x p a n d e d > < W i d t h > 2 0 0 < / W i d t h > < / a : V a l u e > < / a : K e y V a l u e O f D i a g r a m O b j e c t K e y a n y T y p e z b w N T n L X > < a : K e y V a l u e O f D i a g r a m O b j e c t K e y a n y T y p e z b w N T n L X > < a : K e y > < K e y > T a b l e s \ C a n a s t a 2 0 2 3 \ C o l u m n s \ R e n t a   m e n s u a l     ( s i n   i m p u e s t o s ) < / K e y > < / a : K e y > < a : V a l u e   i : t y p e = " D i a g r a m D i s p l a y N o d e V i e w S t a t e " > < H e i g h t > 1 5 0 < / H e i g h t > < I s E x p a n d e d > t r u e < / I s E x p a n d e d > < W i d t h > 2 0 0 < / W i d t h > < / a : V a l u e > < / a : K e y V a l u e O f D i a g r a m O b j e c t K e y a n y T y p e z b w N T n L X > < a : K e y V a l u e O f D i a g r a m O b j e c t K e y a n y T y p e z b w N T n L X > < a : K e y > < K e y > T a b l e s \ C a n a s t a 2 0 2 3 \ C o l u m n s \ R e n t a   m e n s u a l     ( c o n   i m p u e s t o s ) < / K e y > < / a : K e y > < a : V a l u e   i : t y p e = " D i a g r a m D i s p l a y N o d e V i e w S t a t e " > < H e i g h t > 1 5 0 < / H e i g h t > < I s E x p a n d e d > t r u e < / I s E x p a n d e d > < W i d t h > 2 0 0 < / W i d t h > < / a : V a l u e > < / a : K e y V a l u e O f D i a g r a m O b j e c t K e y a n y T y p e z b w N T n L X > < a : K e y V a l u e O f D i a g r a m O b j e c t K e y a n y T y p e z b w N T n L X > < a : K e y > < K e y > T a b l e s \ C a n a s t a 2 0 2 3 \ C o l u m n s \ C a n t i d a d   d e   T V   i n c l u i d a s < / K e y > < / a : K e y > < a : V a l u e   i : t y p e = " D i a g r a m D i s p l a y N o d e V i e w S t a t e " > < H e i g h t > 1 5 0 < / H e i g h t > < I s E x p a n d e d > t r u e < / I s E x p a n d e d > < W i d t h > 2 0 0 < / W i d t h > < / a : V a l u e > < / a : K e y V a l u e O f D i a g r a m O b j e c t K e y a n y T y p e z b w N T n L X > < a : K e y V a l u e O f D i a g r a m O b j e c t K e y a n y T y p e z b w N T n L X > < a : K e y > < K e y > T a b l e s \ C a n a s t a 2 0 2 3 \ C o l u m n s \ E n t r e t e n i m i e n t o < / K e y > < / a : K e y > < a : V a l u e   i : t y p e = " D i a g r a m D i s p l a y N o d e V i e w S t a t e " > < H e i g h t > 1 5 0 < / H e i g h t > < I s E x p a n d e d > t r u e < / I s E x p a n d e d > < W i d t h > 2 0 0 < / W i d t h > < / a : V a l u e > < / a : K e y V a l u e O f D i a g r a m O b j e c t K e y a n y T y p e z b w N T n L X > < a : K e y V a l u e O f D i a g r a m O b j e c t K e y a n y T y p e z b w N T n L X > < a : K e y > < K e y > T a b l e s \ C a n a s t a 2 0 2 3 \ C o l u m n s \ M � s i c a < / K e y > < / a : K e y > < a : V a l u e   i : t y p e = " D i a g r a m D i s p l a y N o d e V i e w S t a t e " > < H e i g h t > 1 5 0 < / H e i g h t > < I s E x p a n d e d > t r u e < / I s E x p a n d e d > < W i d t h > 2 0 0 < / W i d t h > < / a : V a l u e > < / a : K e y V a l u e O f D i a g r a m O b j e c t K e y a n y T y p e z b w N T n L X > < a : K e y V a l u e O f D i a g r a m O b j e c t K e y a n y T y p e z b w N T n L X > < a : K e y > < K e y > T a b l e s \ C a n a s t a 2 0 2 3 \ C o l u m n s \ N i � o s / F a m i l i a r < / K e y > < / a : K e y > < a : V a l u e   i : t y p e = " D i a g r a m D i s p l a y N o d e V i e w S t a t e " > < H e i g h t > 1 5 0 < / H e i g h t > < I s E x p a n d e d > t r u e < / I s E x p a n d e d > < W i d t h > 2 0 0 < / W i d t h > < / a : V a l u e > < / a : K e y V a l u e O f D i a g r a m O b j e c t K e y a n y T y p e z b w N T n L X > < a : K e y V a l u e O f D i a g r a m O b j e c t K e y a n y T y p e z b w N T n L X > < a : K e y > < K e y > T a b l e s \ C a n a s t a 2 0 2 3 \ C o l u m n s \ D o c u m e n t a l e s   /   C u l t u r a l e s < / K e y > < / a : K e y > < a : V a l u e   i : t y p e = " D i a g r a m D i s p l a y N o d e V i e w S t a t e " > < H e i g h t > 1 5 0 < / H e i g h t > < I s E x p a n d e d > t r u e < / I s E x p a n d e d > < W i d t h > 2 0 0 < / W i d t h > < / a : V a l u e > < / a : K e y V a l u e O f D i a g r a m O b j e c t K e y a n y T y p e z b w N T n L X > < a : K e y V a l u e O f D i a g r a m O b j e c t K e y a n y T y p e z b w N T n L X > < a : K e y > < K e y > T a b l e s \ C a n a s t a 2 0 2 3 \ C o l u m n s \ N a c i o n a l e s < / K e y > < / a : K e y > < a : V a l u e   i : t y p e = " D i a g r a m D i s p l a y N o d e V i e w S t a t e " > < H e i g h t > 1 5 0 < / H e i g h t > < I s E x p a n d e d > t r u e < / I s E x p a n d e d > < W i d t h > 2 0 0 < / W i d t h > < / a : V a l u e > < / a : K e y V a l u e O f D i a g r a m O b j e c t K e y a n y T y p e z b w N T n L X > < a : K e y V a l u e O f D i a g r a m O b j e c t K e y a n y T y p e z b w N T n L X > < a : K e y > < K e y > T a b l e s \ C a n a s t a 2 0 2 3 \ C o l u m n s \ I n t e r n a c i o n a l e s < / K e y > < / a : K e y > < a : V a l u e   i : t y p e = " D i a g r a m D i s p l a y N o d e V i e w S t a t e " > < H e i g h t > 1 5 0 < / H e i g h t > < I s E x p a n d e d > t r u e < / I s E x p a n d e d > < W i d t h > 2 0 0 < / W i d t h > < / a : V a l u e > < / a : K e y V a l u e O f D i a g r a m O b j e c t K e y a n y T y p e z b w N T n L X > < a : K e y V a l u e O f D i a g r a m O b j e c t K e y a n y T y p e z b w N T n L X > < a : K e y > < K e y > T a b l e s \ C a n a s t a 2 0 2 3 \ C o l u m n s \ D e p o r t e s < / K e y > < / a : K e y > < a : V a l u e   i : t y p e = " D i a g r a m D i s p l a y N o d e V i e w S t a t e " > < H e i g h t > 1 5 0 < / H e i g h t > < I s E x p a n d e d > t r u e < / I s E x p a n d e d > < W i d t h > 2 0 0 < / W i d t h > < / a : V a l u e > < / a : K e y V a l u e O f D i a g r a m O b j e c t K e y a n y T y p e z b w N T n L X > < a : K e y V a l u e O f D i a g r a m O b j e c t K e y a n y T y p e z b w N T n L X > < a : K e y > < K e y > T a b l e s \ C a n a s t a 2 0 2 3 \ C o l u m n s \ P e l � c u l a s < / K e y > < / a : K e y > < a : V a l u e   i : t y p e = " D i a g r a m D i s p l a y N o d e V i e w S t a t e " > < H e i g h t > 1 5 0 < / H e i g h t > < I s E x p a n d e d > t r u e < / I s E x p a n d e d > < W i d t h > 2 0 0 < / W i d t h > < / a : V a l u e > < / a : K e y V a l u e O f D i a g r a m O b j e c t K e y a n y T y p e z b w N T n L X > < a : K e y V a l u e O f D i a g r a m O b j e c t K e y a n y T y p e z b w N T n L X > < a : K e y > < K e y > T a b l e s \ C a n a s t a 2 0 2 3 \ C o l u m n s \ N � m e r o   d e   c a n a l e s   c o n   a l t a   d e f i n i c i � n   ( H D ) < / K e y > < / a : K e y > < a : V a l u e   i : t y p e = " D i a g r a m D i s p l a y N o d e V i e w S t a t e " > < H e i g h t > 1 5 0 < / H e i g h t > < I s E x p a n d e d > t r u e < / I s E x p a n d e d > < W i d t h > 2 0 0 < / W i d t h > < / a : V a l u e > < / a : K e y V a l u e O f D i a g r a m O b j e c t K e y a n y T y p e z b w N T n L X > < a : K e y V a l u e O f D i a g r a m O b j e c t K e y a n y T y p e z b w N T n L X > < a : K e y > < K e y > T a b l e s \ C a n a s t a 2 0 2 3 \ C o l u m n s \ N � m e r o   d e   c a n a l e s   " S o l o   A u d i o " < / K e y > < / a : K e y > < a : V a l u e   i : t y p e = " D i a g r a m D i s p l a y N o d e V i e w S t a t e " > < H e i g h t > 1 5 0 < / H e i g h t > < I s E x p a n d e d > t r u e < / I s E x p a n d e d > < W i d t h > 2 0 0 < / W i d t h > < / a : V a l u e > < / a : K e y V a l u e O f D i a g r a m O b j e c t K e y a n y T y p e z b w N T n L X > < a : K e y V a l u e O f D i a g r a m O b j e c t K e y a n y T y p e z b w N T n L X > < a : K e y > < K e y > T a b l e s \ C a n a s t a 2 0 2 3 \ C o l u m n s \ m a x < / K e y > < / a : K e y > < a : V a l u e   i : t y p e = " D i a g r a m D i s p l a y N o d e V i e w S t a t e " > < H e i g h t > 1 5 0 < / H e i g h t > < I s E x p a n d e d > t r u e < / I s E x p a n d e d > < W i d t h > 2 0 0 < / W i d t h > < / a : V a l u e > < / a : K e y V a l u e O f D i a g r a m O b j e c t K e y a n y T y p e z b w N T n L X > < a : K e y V a l u e O f D i a g r a m O b j e c t K e y a n y T y p e z b w N T n L X > < a : K e y > < K e y > T a b l e s \ C a n a s t a 2 0 2 3 \ C o l u m n s \ p a r a m o u n t   + < / K e y > < / a : K e y > < a : V a l u e   i : t y p e = " D i a g r a m D i s p l a y N o d e V i e w S t a t e " > < H e i g h t > 1 5 0 < / H e i g h t > < I s E x p a n d e d > t r u e < / I s E x p a n d e d > < W i d t h > 2 0 0 < / W i d t h > < / a : V a l u e > < / a : K e y V a l u e O f D i a g r a m O b j e c t K e y a n y T y p e z b w N T n L X > < a : K e y V a l u e O f D i a g r a m O b j e c t K e y a n y T y p e z b w N T n L X > < a : K e y > < K e y > T a b l e s \ C a n a s t a 2 0 2 3 \ C o l u m n s \ F o x   S p o r t   P r e m i u m < / K e y > < / a : K e y > < a : V a l u e   i : t y p e = " D i a g r a m D i s p l a y N o d e V i e w S t a t e " > < H e i g h t > 1 5 0 < / H e i g h t > < I s E x p a n d e d > t r u e < / I s E x p a n d e d > < W i d t h > 2 0 0 < / W i d t h > < / a : V a l u e > < / a : K e y V a l u e O f D i a g r a m O b j e c t K e y a n y T y p e z b w N T n L X > < a : K e y V a l u e O f D i a g r a m O b j e c t K e y a n y T y p e z b w N T n L X > < a : K e y > < K e y > T a b l e s \ C a n a s t a 2 0 2 3 \ C o l u m n s \ M L B < / K e y > < / a : K e y > < a : V a l u e   i : t y p e = " D i a g r a m D i s p l a y N o d e V i e w S t a t e " > < H e i g h t > 1 5 0 < / H e i g h t > < I s E x p a n d e d > t r u e < / I s E x p a n d e d > < W i d t h > 2 0 0 < / W i d t h > < / a : V a l u e > < / a : K e y V a l u e O f D i a g r a m O b j e c t K e y a n y T y p e z b w N T n L X > < a : K e y V a l u e O f D i a g r a m O b j e c t K e y a n y T y p e z b w N T n L X > < a : K e y > < K e y > T a b l e s \ C a n a s t a 2 0 2 3 \ C o l u m n s \ N B A   L e a g u e   P a s s < / K e y > < / a : K e y > < a : V a l u e   i : t y p e = " D i a g r a m D i s p l a y N o d e V i e w S t a t e " > < H e i g h t > 1 5 0 < / H e i g h t > < I s E x p a n d e d > t r u e < / I s E x p a n d e d > < W i d t h > 2 0 0 < / W i d t h > < / a : V a l u e > < / a : K e y V a l u e O f D i a g r a m O b j e c t K e y a n y T y p e z b w N T n L X > < a : K e y V a l u e O f D i a g r a m O b j e c t K e y a n y T y p e z b w N T n L X > < a : K e y > < K e y > T a b l e s \ C a n a s t a 2 0 2 3 \ C o l u m n s \ A d u l t   P a c k < / K e y > < / a : K e y > < a : V a l u e   i : t y p e = " D i a g r a m D i s p l a y N o d e V i e w S t a t e " > < H e i g h t > 1 5 0 < / H e i g h t > < I s E x p a n d e d > t r u e < / I s E x p a n d e d > < W i d t h > 2 0 0 < / W i d t h > < / a : V a l u e > < / a : K e y V a l u e O f D i a g r a m O b j e c t K e y a n y T y p e z b w N T n L X > < a : K e y V a l u e O f D i a g r a m O b j e c t K e y a n y T y p e z b w N T n L X > < a : K e y > < K e y > T a b l e s \ C a n a s t a 2 0 2 3 \ C o l u m n s \ o t r o s < / K e y > < / a : K e y > < a : V a l u e   i : t y p e = " D i a g r a m D i s p l a y N o d e V i e w S t a t e " > < H e i g h t > 1 5 0 < / H e i g h t > < I s E x p a n d e d > t r u e < / I s E x p a n d e d > < W i d t h > 2 0 0 < / W i d t h > < / a : V a l u e > < / a : K e y V a l u e O f D i a g r a m O b j e c t K e y a n y T y p e z b w N T n L X > < a : K e y V a l u e O f D i a g r a m O b j e c t K e y a n y T y p e z b w N T n L X > < a : K e y > < K e y > T a b l e s \ C a n a s t a 2 0 2 3 \ C o l u m n s \ C a n t i d a d   d e   l � n e a s   i n c l u i d a s < / K e y > < / a : K e y > < a : V a l u e   i : t y p e = " D i a g r a m D i s p l a y N o d e V i e w S t a t e " > < H e i g h t > 1 5 0 < / H e i g h t > < I s E x p a n d e d > t r u e < / I s E x p a n d e d > < W i d t h > 2 0 0 < / W i d t h > < / a : V a l u e > < / a : K e y V a l u e O f D i a g r a m O b j e c t K e y a n y T y p e z b w N T n L X > < a : K e y V a l u e O f D i a g r a m O b j e c t K e y a n y T y p e z b w N T n L X > < a : K e y > < K e y > T a b l e s \ C a n a s t a 2 0 2 3 \ C o l u m n s \ N a c i o n a l e s 2 < / K e y > < / a : K e y > < a : V a l u e   i : t y p e = " D i a g r a m D i s p l a y N o d e V i e w S t a t e " > < H e i g h t > 1 5 0 < / H e i g h t > < I s E x p a n d e d > t r u e < / I s E x p a n d e d > < W i d t h > 2 0 0 < / W i d t h > < / a : V a l u e > < / a : K e y V a l u e O f D i a g r a m O b j e c t K e y a n y T y p e z b w N T n L X > < a : K e y V a l u e O f D i a g r a m O b j e c t K e y a n y T y p e z b w N T n L X > < a : K e y > < K e y > T a b l e s \ C a n a s t a 2 0 2 3 \ C o l u m n s \ E s t d o s   U n i d o s   y   C a n a d � < / K e y > < / a : K e y > < a : V a l u e   i : t y p e = " D i a g r a m D i s p l a y N o d e V i e w S t a t e " > < H e i g h t > 1 5 0 < / H e i g h t > < I s E x p a n d e d > t r u e < / I s E x p a n d e d > < W i d t h > 2 0 0 < / W i d t h > < / a : V a l u e > < / a : K e y V a l u e O f D i a g r a m O b j e c t K e y a n y T y p e z b w N T n L X > < a : K e y V a l u e O f D i a g r a m O b j e c t K e y a n y T y p e z b w N T n L X > < a : K e y > < K e y > T a b l e s \ C a n a s t a 2 0 2 3 \ C o l u m n s \ N a c i o n a l e s 3 < / K e y > < / a : K e y > < a : V a l u e   i : t y p e = " D i a g r a m D i s p l a y N o d e V i e w S t a t e " > < H e i g h t > 1 5 0 < / H e i g h t > < I s E x p a n d e d > t r u e < / I s E x p a n d e d > < W i d t h > 2 0 0 < / W i d t h > < / a : V a l u e > < / a : K e y V a l u e O f D i a g r a m O b j e c t K e y a n y T y p e z b w N T n L X > < a : K e y V a l u e O f D i a g r a m O b j e c t K e y a n y T y p e z b w N T n L X > < a : K e y > < K e y > T a b l e s \ C a n a s t a 2 0 2 3 \ C o l u m n s \ E s t d o s   U n i d o s   y   C a n a d � 4 < / K e y > < / a : K e y > < a : V a l u e   i : t y p e = " D i a g r a m D i s p l a y N o d e V i e w S t a t e " > < H e i g h t > 1 5 0 < / H e i g h t > < I s E x p a n d e d > t r u e < / I s E x p a n d e d > < W i d t h > 2 0 0 < / W i d t h > < / a : V a l u e > < / a : K e y V a l u e O f D i a g r a m O b j e c t K e y a n y T y p e z b w N T n L X > < a : K e y V a l u e O f D i a g r a m O b j e c t K e y a n y T y p e z b w N T n L X > < a : K e y > < K e y > T a b l e s \ C a n a s t a 2 0 2 3 \ C o l u m n s \ V e l o c i d a d   d e   b a j a d a   o f e r t a d a   ( M b p s ) < / K e y > < / a : K e y > < a : V a l u e   i : t y p e = " D i a g r a m D i s p l a y N o d e V i e w S t a t e " > < H e i g h t > 1 5 0 < / H e i g h t > < I s E x p a n d e d > t r u e < / I s E x p a n d e d > < W i d t h > 2 0 0 < / W i d t h > < / a : V a l u e > < / a : K e y V a l u e O f D i a g r a m O b j e c t K e y a n y T y p e z b w N T n L X > < a : K e y V a l u e O f D i a g r a m O b j e c t K e y a n y T y p e z b w N T n L X > < a : K e y > < K e y > T a b l e s \ C a n a s t a 2 0 2 3 \ C o l u m n s \ V e l o c i d a d   d e   s u b i d a   o f e r t a d a   ( M b p s ) < / K e y > < / a : K e y > < a : V a l u e   i : t y p e = " D i a g r a m D i s p l a y N o d e V i e w S t a t e " > < H e i g h t > 1 5 0 < / H e i g h t > < I s E x p a n d e d > t r u e < / I s E x p a n d e d > < W i d t h > 2 0 0 < / W i d t h > < / a : V a l u e > < / a : K e y V a l u e O f D i a g r a m O b j e c t K e y a n y T y p e z b w N T n L X > < a : K e y V a l u e O f D i a g r a m O b j e c t K e y a n y T y p e z b w N T n L X > < a : K e y > < K e y > T a b l e s \ C a n a s t a 2 0 2 3 \ C o l u m n s \ � C u e n t a   c o n   p r o m o c i o n e s   q u e   i n c r e m e n t e n   s u   v e l o c i d a d   a   p a r t i r   d e l   p a g o   d e   l a   m i s m a   r e n t a   m e n s u a l ?   ( S < / K e y > < / a : K e y > < a : V a l u e   i : t y p e = " D i a g r a m D i s p l a y N o d e V i e w S t a t e " > < H e i g h t > 1 5 0 < / H e i g h t > < I s E x p a n d e d > t r u e < / I s E x p a n d e d > < W i d t h > 2 0 0 < / W i d t h > < / a : V a l u e > < / a : K e y V a l u e O f D i a g r a m O b j e c t K e y a n y T y p e z b w N T n L X > < a : K e y V a l u e O f D i a g r a m O b j e c t K e y a n y T y p e z b w N T n L X > < a : K e y > < K e y > T a b l e s \ C a n a s t a 2 0 2 3 \ C o l u m n s \ D u r a c i � n   d e l   p e r i o d o   d e   t i e m p o   ( e n   m e s e s )   e n   q u e   o f r e c e   l a   p r o m o c i � n   d e   i n c r e m e n t o   d e   v e l o c i d a d < / K e y > < / a : K e y > < a : V a l u e   i : t y p e = " D i a g r a m D i s p l a y N o d e V i e w S t a t e " > < H e i g h t > 1 5 0 < / H e i g h t > < I s E x p a n d e d > t r u e < / I s E x p a n d e d > < W i d t h > 2 0 0 < / W i d t h > < / a : V a l u e > < / a : K e y V a l u e O f D i a g r a m O b j e c t K e y a n y T y p e z b w N T n L X > < a : K e y V a l u e O f D i a g r a m O b j e c t K e y a n y T y p e z b w N T n L X > < a : K e y > < K e y > T a b l e s \ C a n a s t a 2 0 2 3 \ C o l u m n s \ V e l o c i d a d   d e   s u b i d a   o f e r t a d a   ( M b p s )   c o n   l a   p r o m o c i � n   d e   a u m e n t o   d e   v e l o c i d a d < / K e y > < / a : K e y > < a : V a l u e   i : t y p e = " D i a g r a m D i s p l a y N o d e V i e w S t a t e " > < H e i g h t > 1 5 0 < / H e i g h t > < I s E x p a n d e d > t r u e < / I s E x p a n d e d > < W i d t h > 2 0 0 < / W i d t h > < / a : V a l u e > < / a : K e y V a l u e O f D i a g r a m O b j e c t K e y a n y T y p e z b w N T n L X > < a : K e y V a l u e O f D i a g r a m O b j e c t K e y a n y T y p e z b w N T n L X > < a : K e y > < K e y > T a b l e s \ C a n a s t a 2 0 2 3 \ C o l u m n s \ V e l o c i d a d   d e   b a j a d a   o f e r t a d a   ( M b p s )   c o n   l a   p r o m o c i � n   d e   a u m e n t o   d e   v e l o c i d a d < / K e y > < / a : K e y > < a : V a l u e   i : t y p e = " D i a g r a m D i s p l a y N o d e V i e w S t a t e " > < H e i g h t > 1 5 0 < / H e i g h t > < I s E x p a n d e d > t r u e < / I s E x p a n d e d > < W i d t h > 2 0 0 < / W i d t h > < / a : V a l u e > < / a : K e y V a l u e O f D i a g r a m O b j e c t K e y a n y T y p e z b w N T n L X > < a : K e y V a l u e O f D i a g r a m O b j e c t K e y a n y T y p e z b w N T n L X > < a : K e y > < K e y > T a b l e s \ C a n a s t a 2 0 2 3 \ C o l u m n s \ V e l o c i d a d   d e   s u b i d a   o f e r t a d a   ( M b p s )   c o n   l a   p r o m o c i � n   d e   a u m e n t o   d e   v e l o c i d a d 5 < / K e y > < / a : K e y > < a : V a l u e   i : t y p e = " D i a g r a m D i s p l a y N o d e V i e w S t a t e " > < H e i g h t > 1 5 0 < / H e i g h t > < I s E x p a n d e d > t r u e < / I s E x p a n d e d > < W i d t h > 2 0 0 < / W i d t h > < / a : V a l u e > < / a : K e y V a l u e O f D i a g r a m O b j e c t K e y a n y T y p e z b w N T n L X > < a : K e y V a l u e O f D i a g r a m O b j e c t K e y a n y T y p e z b w N T n L X > < a : K e y > < K e y > T a b l e s \ C a n a s t a 2 0 2 3 \ C o l u m n s \ V e l o c i d a d   d e   b a j a d a   o f e r t a d a   ( M b p s )   c o n   l a   p r o m o c i � n   d e   a u m e n t o   d e   v e l o c i d a d 6 < / K e y > < / a : K e y > < a : V a l u e   i : t y p e = " D i a g r a m D i s p l a y N o d e V i e w S t a t e " > < H e i g h t > 1 5 0 < / H e i g h t > < I s E x p a n d e d > t r u e < / I s E x p a n d e d > < W i d t h > 2 0 0 < / W i d t h > < / a : V a l u e > < / a : K e y V a l u e O f D i a g r a m O b j e c t K e y a n y T y p e z b w N T n L X > < a : K e y V a l u e O f D i a g r a m O b j e c t K e y a n y T y p e z b w N T n L X > < a : K e y > < K e y > T a b l e s \ C a n a s t a 2 0 2 3 \ C o l u m n s \ V e l o c i d a d   d e   s u b i d a   o f e r t a d a   ( M b p s )   c o n   l a   p r o m o c i � n   d e   a u m e n t o   d e   v e l o c i d a d 7 < / K e y > < / a : K e y > < a : V a l u e   i : t y p e = " D i a g r a m D i s p l a y N o d e V i e w S t a t e " > < H e i g h t > 1 5 0 < / H e i g h t > < I s E x p a n d e d > t r u e < / I s E x p a n d e d > < W i d t h > 2 0 0 < / W i d t h > < / a : V a l u e > < / a : K e y V a l u e O f D i a g r a m O b j e c t K e y a n y T y p e z b w N T n L X > < a : K e y V a l u e O f D i a g r a m O b j e c t K e y a n y T y p e z b w N T n L X > < a : K e y > < K e y > T a b l e s \ C a n a s t a 2 0 2 3 \ C o l u m n s \ � C u e n t a   c o n   p r o m o c i o n e s   q u e   v u e l v a n   s u   v e l o c i d a d   s i m � t r i c a   p a r t i r   d e l   p a g o   d e   l a   m i s m a   r e n t a   m e n s u a l < / K e y > < / a : K e y > < a : V a l u e   i : t y p e = " D i a g r a m D i s p l a y N o d e V i e w S t a t e " > < H e i g h t > 1 5 0 < / H e i g h t > < I s E x p a n d e d > t r u e < / I s E x p a n d e d > < W i d t h > 2 0 0 < / W i d t h > < / a : V a l u e > < / a : K e y V a l u e O f D i a g r a m O b j e c t K e y a n y T y p e z b w N T n L X > < a : K e y V a l u e O f D i a g r a m O b j e c t K e y a n y T y p e z b w N T n L X > < a : K e y > < K e y > T a b l e s \ C a n a s t a 2 0 2 3 \ C o l u m n s \ D u r a c i � n   d e l   p e r i o d o   d e   t i e m p o   ( e n   m e s e s )   e n   q u e   o f r e c e   l a   p r o m o c i � n   d e   s i m e t r � a   e n   l a   v e l o c i d a d < / K e y > < / a : K e y > < a : V a l u e   i : t y p e = " D i a g r a m D i s p l a y N o d e V i e w S t a t e " > < H e i g h t > 1 5 0 < / H e i g h t > < I s E x p a n d e d > t r u e < / I s E x p a n d e d > < W i d t h > 2 0 0 < / W i d t h > < / a : V a l u e > < / a : K e y V a l u e O f D i a g r a m O b j e c t K e y a n y T y p e z b w N T n L X > < a : K e y V a l u e O f D i a g r a m O b j e c t K e y a n y T y p e z b w N T n L X > < a : K e y > < K e y > T a b l e s \ C a n a s t a 2 0 2 3 \ C o l u m n s \ � I n c l u y e   P a r a m o u n t   + ? < / K e y > < / a : K e y > < a : V a l u e   i : t y p e = " D i a g r a m D i s p l a y N o d e V i e w S t a t e " > < H e i g h t > 1 5 0 < / H e i g h t > < I s E x p a n d e d > t r u e < / I s E x p a n d e d > < W i d t h > 2 0 0 < / W i d t h > < / a : V a l u e > < / a : K e y V a l u e O f D i a g r a m O b j e c t K e y a n y T y p e z b w N T n L X > < a : K e y V a l u e O f D i a g r a m O b j e c t K e y a n y T y p e z b w N T n L X > < a : K e y > < K e y > T a b l e s \ C a n a s t a 2 0 2 3 \ C o l u m n s \ T � r m i n o s   y   c o n d i c i o n e s   d e l   s e r v i c i o * * < / K e y > < / a : K e y > < a : V a l u e   i : t y p e = " D i a g r a m D i s p l a y N o d e V i e w S t a t e " > < H e i g h t > 1 5 0 < / H e i g h t > < I s E x p a n d e d > t r u e < / I s E x p a n d e d > < W i d t h > 2 0 0 < / W i d t h > < / a : V a l u e > < / a : K e y V a l u e O f D i a g r a m O b j e c t K e y a n y T y p e z b w N T n L X > < a : K e y V a l u e O f D i a g r a m O b j e c t K e y a n y T y p e z b w N T n L X > < a : K e y > < K e y > T a b l e s \ C a n a s t a 2 0 2 3 \ C o l u m n s \ D u r a c i � n   d e l   p e r i o d o   d e   t i e m p o   ( e n   m e s e s )   e n   q u e   o f r e c e   a   l o s   u s u a r i o s   f i n a l e s   e l   s e r v i c i o   d e   P a r a m o < / K e y > < / a : K e y > < a : V a l u e   i : t y p e = " D i a g r a m D i s p l a y N o d e V i e w S t a t e " > < H e i g h t > 1 5 0 < / H e i g h t > < I s E x p a n d e d > t r u e < / I s E x p a n d e d > < W i d t h > 2 0 0 < / W i d t h > < / a : V a l u e > < / a : K e y V a l u e O f D i a g r a m O b j e c t K e y a n y T y p e z b w N T n L X > < a : K e y V a l u e O f D i a g r a m O b j e c t K e y a n y T y p e z b w N T n L X > < a : K e y > < K e y > T a b l e s \ C a n a s t a 2 0 2 3 \ C o l u m n s \ � I n c l u y e   m a x ? < / K e y > < / a : K e y > < a : V a l u e   i : t y p e = " D i a g r a m D i s p l a y N o d e V i e w S t a t e " > < H e i g h t > 1 5 0 < / H e i g h t > < I s E x p a n d e d > t r u e < / I s E x p a n d e d > < W i d t h > 2 0 0 < / W i d t h > < / a : V a l u e > < / a : K e y V a l u e O f D i a g r a m O b j e c t K e y a n y T y p e z b w N T n L X > < a : K e y V a l u e O f D i a g r a m O b j e c t K e y a n y T y p e z b w N T n L X > < a : K e y > < K e y > T a b l e s \ C a n a s t a 2 0 2 3 \ C o l u m n s \ T � r m i n o s   y   c o n d i c i o n e s   d e l   s e r v i c i o * * 8 < / K e y > < / a : K e y > < a : V a l u e   i : t y p e = " D i a g r a m D i s p l a y N o d e V i e w S t a t e " > < H e i g h t > 1 5 0 < / H e i g h t > < I s E x p a n d e d > t r u e < / I s E x p a n d e d > < W i d t h > 2 0 0 < / W i d t h > < / a : V a l u e > < / a : K e y V a l u e O f D i a g r a m O b j e c t K e y a n y T y p e z b w N T n L X > < a : K e y V a l u e O f D i a g r a m O b j e c t K e y a n y T y p e z b w N T n L X > < a : K e y > < K e y > T a b l e s \ C a n a s t a 2 0 2 3 \ C o l u m n s \ D u r a c i � n   d e l   p e r i o d o   d e   t i e m p o   ( e n   m e s e s )   e n   q u e   o f r e c e   a   l o s   u s u a r i o s   f i n a l e s   e l   s e r v i c i o   d e   m a x   s i < / K e y > < / a : K e y > < a : V a l u e   i : t y p e = " D i a g r a m D i s p l a y N o d e V i e w S t a t e " > < H e i g h t > 1 5 0 < / H e i g h t > < I s E x p a n d e d > t r u e < / I s E x p a n d e d > < W i d t h > 2 0 0 < / W i d t h > < / a : V a l u e > < / a : K e y V a l u e O f D i a g r a m O b j e c t K e y a n y T y p e z b w N T n L X > < a : K e y V a l u e O f D i a g r a m O b j e c t K e y a n y T y p e z b w N T n L X > < a : K e y > < K e y > T a b l e s \ C a n a s t a 2 0 2 3 \ C o l u m n s \ � I n c l u y e   m a x ?   9 < / K e y > < / a : K e y > < a : V a l u e   i : t y p e = " D i a g r a m D i s p l a y N o d e V i e w S t a t e " > < H e i g h t > 1 5 0 < / H e i g h t > < I s E x p a n d e d > t r u e < / I s E x p a n d e d > < W i d t h > 2 0 0 < / W i d t h > < / a : V a l u e > < / a : K e y V a l u e O f D i a g r a m O b j e c t K e y a n y T y p e z b w N T n L X > < a : K e y V a l u e O f D i a g r a m O b j e c t K e y a n y T y p e z b w N T n L X > < a : K e y > < K e y > T a b l e s \ C a n a s t a 2 0 2 3 \ C o l u m n s \ T � r m i n o s   y   c o n d i c i o n e s   d e l   s e r v i c i o * * 1 0 < / K e y > < / a : K e y > < a : V a l u e   i : t y p e = " D i a g r a m D i s p l a y N o d e V i e w S t a t e " > < H e i g h t > 1 5 0 < / H e i g h t > < I s E x p a n d e d > t r u e < / I s E x p a n d e d > < W i d t h > 2 0 0 < / W i d t h > < / a : V a l u e > < / a : K e y V a l u e O f D i a g r a m O b j e c t K e y a n y T y p e z b w N T n L X > < a : K e y V a l u e O f D i a g r a m O b j e c t K e y a n y T y p e z b w N T n L X > < a : K e y > < K e y > T a b l e s \ C a n a s t a 2 0 2 3 \ C o l u m n s \ D u r a c i � n   d e l   p e r i o d o   d e   t i e m p o   ( e n   m e s e s )   e n   q u e   o f r e c e   a   l o s   u s u a r i o s   f i n a l e s   e l   s e r v i c i o   d e   m a x     2 < / K e y > < / a : K e y > < a : V a l u e   i : t y p e = " D i a g r a m D i s p l a y N o d e V i e w S t a t e " > < H e i g h t > 1 5 0 < / H e i g h t > < I s E x p a n d e d > t r u e < / I s E x p a n d e d > < W i d t h > 2 0 0 < / W i d t h > < / a : V a l u e > < / a : K e y V a l u e O f D i a g r a m O b j e c t K e y a n y T y p e z b w N T n L X > < a : K e y V a l u e O f D i a g r a m O b j e c t K e y a n y T y p e z b w N T n L X > < a : K e y > < K e y > T a b l e s \ C a n a s t a 2 0 2 3 \ C o l u m n s \ C a n t i d a d   d e   s e r v i c i o s   a d i c i o n a l e s   i n c l u i d o s < / K e y > < / a : K e y > < a : V a l u e   i : t y p e = " D i a g r a m D i s p l a y N o d e V i e w S t a t e " > < H e i g h t > 1 5 0 < / H e i g h t > < I s E x p a n d e d > t r u e < / I s E x p a n d e d > < W i d t h > 2 0 0 < / W i d t h > < / a : V a l u e > < / a : K e y V a l u e O f D i a g r a m O b j e c t K e y a n y T y p e z b w N T n L X > < a : K e y V a l u e O f D i a g r a m O b j e c t K e y a n y T y p e z b w N T n L X > < a : K e y > < K e y > T a b l e s \ C a n a s t a 2 0 2 3 \ C o l u m n s \ N o m b r e   d e   l o s   s e r v i c i o s   a d i c i o n a l e s   i n c l u i d o s   ( p o r   e j e m p l o   (   I d e n t i f i c a d o r   d e   l l a m a d a s ,   D e s v i o   d e   l l < / K e y > < / a : K e y > < a : V a l u e   i : t y p e = " D i a g r a m D i s p l a y N o d e V i e w S t a t e " > < H e i g h t > 1 5 0 < / H e i g h t > < I s E x p a n d e d > t r u e < / I s E x p a n d e d > < W i d t h > 2 0 0 < / W i d t h > < / a : V a l u e > < / a : K e y V a l u e O f D i a g r a m O b j e c t K e y a n y T y p e z b w N T n L X > < a : K e y V a l u e O f D i a g r a m O b j e c t K e y a n y T y p e z b w N T n L X > < a : K e y > < K e y > T a b l e s \ C a n a s t a 2 0 2 3 \ C o l u m n s \ T V   a d i c i o n a l   * * * < / K e y > < / a : K e y > < a : V a l u e   i : t y p e = " D i a g r a m D i s p l a y N o d e V i e w S t a t e " > < H e i g h t > 1 5 0 < / H e i g h t > < I s E x p a n d e d > t r u e < / I s E x p a n d e d > < W i d t h > 2 0 0 < / W i d t h > < / a : V a l u e > < / a : K e y V a l u e O f D i a g r a m O b j e c t K e y a n y T y p e z b w N T n L X > < a : K e y V a l u e O f D i a g r a m O b j e c t K e y a n y T y p e z b w N T n L X > < a : K e y > < K e y > T a b l e s \ C a n a s t a 2 0 2 3 \ C o l u m n s \ C a r g o   p o r   i n s t a l a c i � n   * * * < / K e y > < / a : K e y > < a : V a l u e   i : t y p e = " D i a g r a m D i s p l a y N o d e V i e w S t a t e " > < H e i g h t > 1 5 0 < / H e i g h t > < I s E x p a n d e d > t r u e < / I s E x p a n d e d > < W i d t h > 2 0 0 < / W i d t h > < / a : V a l u e > < / a : K e y V a l u e O f D i a g r a m O b j e c t K e y a n y T y p e z b w N T n L X > < a : K e y V a l u e O f D i a g r a m O b j e c t K e y a n y T y p e z b w N T n L X > < a : K e y > < K e y > T a b l e s \ C a n a s t a 2 0 2 3 \ C o l u m n s \ E q u i p o   t e r m i n a l   ( M � d e m / O N T ) * * * < / K e y > < / a : K e y > < a : V a l u e   i : t y p e = " D i a g r a m D i s p l a y N o d e V i e w S t a t e " > < H e i g h t > 1 5 0 < / H e i g h t > < I s E x p a n d e d > t r u e < / I s E x p a n d e d > < W i d t h > 2 0 0 < / W i d t h > < / a : V a l u e > < / a : K e y V a l u e O f D i a g r a m O b j e c t K e y a n y T y p e z b w N T n L X > < a : K e y V a l u e O f D i a g r a m O b j e c t K e y a n y T y p e z b w N T n L X > < a : K e y > < K e y > T a b l e s \ C a n a s t a 2 0 2 3 \ C o l u m n s \ D e c o d i f i c a d o r   ( d i g i t a l )   * * * < / K e y > < / a : K e y > < a : V a l u e   i : t y p e = " D i a g r a m D i s p l a y N o d e V i e w S t a t e " > < H e i g h t > 1 5 0 < / H e i g h t > < I s E x p a n d e d > t r u e < / I s E x p a n d e d > < W i d t h > 2 0 0 < / W i d t h > < / a : V a l u e > < / a : K e y V a l u e O f D i a g r a m O b j e c t K e y a n y T y p e z b w N T n L X > < a : K e y V a l u e O f D i a g r a m O b j e c t K e y a n y T y p e z b w N T n L X > < a : K e y > < K e y > T a b l e s \ C a n a s t a 2 0 2 3 \ C o l u m n s \ X v i e w   +   /   X v i e w   * * * < / K e y > < / a : K e y > < a : V a l u e   i : t y p e = " D i a g r a m D i s p l a y N o d e V i e w S t a t e " > < H e i g h t > 1 5 0 < / H e i g h t > < I s E x p a n d e d > t r u e < / I s E x p a n d e d > < W i d t h > 2 0 0 < / W i d t h > < / a : V a l u e > < / a : K e y V a l u e O f D i a g r a m O b j e c t K e y a n y T y p e z b w N T n L X > < a : K e y V a l u e O f D i a g r a m O b j e c t K e y a n y T y p e z b w N T n L X > < a : K e y > < K e y > T a b l e s \ C a n a s t a 2 0 2 3 \ C o l u m n s \ S e r v i c i o   C l o u d     ( C l o u d   1 ,   C l o u d   2 )   * * * < / K e y > < / a : K e y > < a : V a l u e   i : t y p e = " D i a g r a m D i s p l a y N o d e V i e w S t a t e " > < H e i g h t > 1 5 0 < / H e i g h t > < I s E x p a n d e d > t r u e < / I s E x p a n d e d > < W i d t h > 2 0 0 < / W i d t h > < / a : V a l u e > < / a : K e y V a l u e O f D i a g r a m O b j e c t K e y a n y T y p e z b w N T n L X > < a : K e y V a l u e O f D i a g r a m O b j e c t K e y a n y T y p e z b w N T n L X > < a : K e y > < K e y > T a b l e s \ C a n a s t a 2 0 2 3 \ C o l u m n s \ M e g a   M � v i l   * * * < / K e y > < / a : K e y > < a : V a l u e   i : t y p e = " D i a g r a m D i s p l a y N o d e V i e w S t a t e " > < H e i g h t > 1 5 0 < / H e i g h t > < I s E x p a n d e d > t r u e < / I s E x p a n d e d > < W i d t h > 2 0 0 < / W i d t h > < / a : V a l u e > < / a : K e y V a l u e O f D i a g r a m O b j e c t K e y a n y T y p e z b w N T n L X > < a : K e y V a l u e O f D i a g r a m O b j e c t K e y a n y T y p e z b w N T n L X > < a : K e y > < K e y > T a b l e s \ C a n a s t a 2 0 2 3 \ C o l u m n s \ E x t e n s o r   M e s h   * * * < / K e y > < / a : K e y > < a : V a l u e   i : t y p e = " D i a g r a m D i s p l a y N o d e V i e w S t a t e " > < H e i g h t > 1 5 0 < / H e i g h t > < I s E x p a n d e d > t r u e < / I s E x p a n d e d > < W i d t h > 2 0 0 < / W i d t h > < / a : V a l u e > < / a : K e y V a l u e O f D i a g r a m O b j e c t K e y a n y T y p e z b w N T n L X > < a : K e y V a l u e O f D i a g r a m O b j e c t K e y a n y T y p e z b w N T n L X > < a : K e y > < K e y > T a b l e s \ C a n a s t a 2 0 2 3 \ C o l u m n s \ N o r t o n   S e c u r i t y   * * *   N o r t o n   F a m i l y   * * *   N o r t o n   S e c u r e   V P N   * * * < / K e y > < / a : K e y > < a : V a l u e   i : t y p e = " D i a g r a m D i s p l a y N o d e V i e w S t a t e " > < H e i g h t > 1 5 0 < / H e i g h t > < I s E x p a n d e d > t r u e < / I s E x p a n d e d > < W i d t h > 2 0 0 < / W i d t h > < / a : V a l u e > < / a : K e y V a l u e O f D i a g r a m O b j e c t K e y a n y T y p e z b w N T n L X > < a : K e y V a l u e O f D i a g r a m O b j e c t K e y a n y T y p e z b w N T n L X > < a : K e y > < K e y > T a b l e s \ C a n a s t a 2 0 2 3 \ C o l u m n s \ F o x   S p o r t   P r e m i u m   * * * * < / K e y > < / a : K e y > < a : V a l u e   i : t y p e = " D i a g r a m D i s p l a y N o d e V i e w S t a t e " > < H e i g h t > 1 5 0 < / H e i g h t > < I s E x p a n d e d > t r u e < / I s E x p a n d e d > < W i d t h > 2 0 0 < / W i d t h > < / a : V a l u e > < / a : K e y V a l u e O f D i a g r a m O b j e c t K e y a n y T y p e z b w N T n L X > < a : K e y V a l u e O f D i a g r a m O b j e c t K e y a n y T y p e z b w N T n L X > < a : K e y > < K e y > T a b l e s \ C a n a s t a 2 0 2 3 \ C o l u m n s \ N B A   L e a g u e   P a s s   * * * * < / K e y > < / a : K e y > < a : V a l u e   i : t y p e = " D i a g r a m D i s p l a y N o d e V i e w S t a t e " > < H e i g h t > 1 5 0 < / H e i g h t > < I s E x p a n d e d > t r u e < / I s E x p a n d e d > < W i d t h > 2 0 0 < / W i d t h > < / a : V a l u e > < / a : K e y V a l u e O f D i a g r a m O b j e c t K e y a n y T y p e z b w N T n L X > < a : K e y V a l u e O f D i a g r a m O b j e c t K e y a n y T y p e z b w N T n L X > < a : K e y > < K e y > T a b l e s \ C a n a s t a 2 0 2 3 \ C o l u m n s \ M B L   * * * * < / K e y > < / a : K e y > < a : V a l u e   i : t y p e = " D i a g r a m D i s p l a y N o d e V i e w S t a t e " > < H e i g h t > 1 5 0 < / H e i g h t > < I s E x p a n d e d > t r u e < / I s E x p a n d e d > < W i d t h > 2 0 0 < / W i d t h > < / a : V a l u e > < / a : K e y V a l u e O f D i a g r a m O b j e c t K e y a n y T y p e z b w N T n L X > < a : K e y V a l u e O f D i a g r a m O b j e c t K e y a n y T y p e z b w N T n L X > < a : K e y > < K e y > T a b l e s \ C a n a s t a 2 0 2 3 \ C o l u m n s \ O t r o s   I n c l u y a   l a s   c o l u m n a s   q u e   s e a n   n e c e s a r i a s < / K e y > < / a : K e y > < a : V a l u e   i : t y p e = " D i a g r a m D i s p l a y N o d e V i e w S t a t e " > < H e i g h t > 1 5 0 < / H e i g h t > < I s E x p a n d e d > t r u e < / I s E x p a n d e d > < W i d t h > 2 0 0 < / W i d t h > < / a : V a l u e > < / a : K e y V a l u e O f D i a g r a m O b j e c t K e y a n y T y p e z b w N T n L X > < a : K e y V a l u e O f D i a g r a m O b j e c t K e y a n y T y p e z b w N T n L X > < a : K e y > < K e y > T a b l e s \ S u s c r i p t o r e s a < / K e y > < / a : K e y > < a : V a l u e   i : t y p e = " D i a g r a m D i s p l a y N o d e V i e w S t a t e " > < H e i g h t > 4 0 2 < / H e i g h t > < I s E x p a n d e d > t r u e < / I s E x p a n d e d > < L a y e d O u t > t r u e < / L a y e d O u t > < L e f t > 1 2 2 9 . 7 1 1 4 3 1 7 0 2 9 9 7 3 < / L e f t > < T a b I n d e x > 4 < / T a b I n d e x > < W i d t h > 3 2 5 < / W i d t h > < / a : V a l u e > < / a : K e y V a l u e O f D i a g r a m O b j e c t K e y a n y T y p e z b w N T n L X > < a : K e y V a l u e O f D i a g r a m O b j e c t K e y a n y T y p e z b w N T n L X > < a : K e y > < K e y > T a b l e s \ S u s c r i p t o r e s a \ C o l u m n s \ N o m b r e   d e   P l a n / P a q u e t e < / K e y > < / a : K e y > < a : V a l u e   i : t y p e = " D i a g r a m D i s p l a y N o d e V i e w S t a t e " > < H e i g h t > 1 5 0 < / H e i g h t > < I s E x p a n d e d > t r u e < / I s E x p a n d e d > < W i d t h > 2 0 0 < / W i d t h > < / a : V a l u e > < / a : K e y V a l u e O f D i a g r a m O b j e c t K e y a n y T y p e z b w N T n L X > < a : K e y V a l u e O f D i a g r a m O b j e c t K e y a n y T y p e z b w N T n L X > < a : K e y > < K e y > T a b l e s \ S u s c r i p t o r e s a \ C o l u m n s \ T i p o * < / K e y > < / a : K e y > < a : V a l u e   i : t y p e = " D i a g r a m D i s p l a y N o d e V i e w S t a t e " > < H e i g h t > 1 5 0 < / H e i g h t > < I s E x p a n d e d > t r u e < / I s E x p a n d e d > < W i d t h > 2 0 0 < / W i d t h > < / a : V a l u e > < / a : K e y V a l u e O f D i a g r a m O b j e c t K e y a n y T y p e z b w N T n L X > < a : K e y V a l u e O f D i a g r a m O b j e c t K e y a n y T y p e z b w N T n L X > < a : K e y > < K e y > T a b l e s \ S u s c r i p t o r e s a \ C o l u m n s \ T i p o   d e   p a q u e t e   c o n s i d e r a n d o   S T A R   ( s e r v i c i o s   i n c l u i d o s ) * < / K e y > < / a : K e y > < a : V a l u e   i : t y p e = " D i a g r a m D i s p l a y N o d e V i e w S t a t e " > < H e i g h t > 1 5 0 < / H e i g h t > < I s E x p a n d e d > t r u e < / I s E x p a n d e d > < W i d t h > 2 0 0 < / W i d t h > < / a : V a l u e > < / a : K e y V a l u e O f D i a g r a m O b j e c t K e y a n y T y p e z b w N T n L X > < a : K e y V a l u e O f D i a g r a m O b j e c t K e y a n y T y p e z b w N T n L X > < a : K e y > < K e y > T a b l e s \ S u s c r i p t o r e s a \ C o l u m n s \ E s t a d o < / K e y > < / a : K e y > < a : V a l u e   i : t y p e = " D i a g r a m D i s p l a y N o d e V i e w S t a t e " > < H e i g h t > 1 5 0 < / H e i g h t > < I s E x p a n d e d > t r u e < / I s E x p a n d e d > < W i d t h > 2 0 0 < / W i d t h > < / a : V a l u e > < / a : K e y V a l u e O f D i a g r a m O b j e c t K e y a n y T y p e z b w N T n L X > < a : K e y V a l u e O f D i a g r a m O b j e c t K e y a n y T y p e z b w N T n L X > < a : K e y > < K e y > T a b l e s \ S u s c r i p t o r e s a \ C o l u m n s \ M u n i c i p i o < / K e y > < / a : K e y > < a : V a l u e   i : t y p e = " D i a g r a m D i s p l a y N o d e V i e w S t a t e " > < H e i g h t > 1 5 0 < / H e i g h t > < I s E x p a n d e d > t r u e < / I s E x p a n d e d > < W i d t h > 2 0 0 < / W i d t h > < / a : V a l u e > < / a : K e y V a l u e O f D i a g r a m O b j e c t K e y a n y T y p e z b w N T n L X > < a : K e y V a l u e O f D i a g r a m O b j e c t K e y a n y T y p e z b w N T n L X > < a : K e y > < K e y > T a b l e s \ S u s c r i p t o r e s a \ C o l u m n s \ L o c a l i d a d < / K e y > < / a : K e y > < a : V a l u e   i : t y p e = " D i a g r a m D i s p l a y N o d e V i e w S t a t e " > < H e i g h t > 1 5 0 < / H e i g h t > < I s E x p a n d e d > t r u e < / I s E x p a n d e d > < I s F o c u s e d > t r u e < / I s F o c u s e d > < W i d t h > 2 0 0 < / W i d t h > < / a : V a l u e > < / a : K e y V a l u e O f D i a g r a m O b j e c t K e y a n y T y p e z b w N T n L X > < a : K e y V a l u e O f D i a g r a m O b j e c t K e y a n y T y p e z b w N T n L X > < a : K e y > < K e y > T a b l e s \ S u s c r i p t o r e s a \ C o l u m n s \ d i c i e m b r e   2 0 2 3 < / K e y > < / a : K e y > < a : V a l u e   i : t y p e = " D i a g r a m D i s p l a y N o d e V i e w S t a t e " > < H e i g h t > 1 5 0 < / H e i g h t > < I s E x p a n d e d > t r u e < / I s E x p a n d e d > < W i d t h > 2 0 0 < / W i d t h > < / a : V a l u e > < / a : K e y V a l u e O f D i a g r a m O b j e c t K e y a n y T y p e z b w N T n L X > < a : K e y V a l u e O f D i a g r a m O b j e c t K e y a n y T y p e z b w N T n L X > < a : K e y > < K e y > T a b l e s \ S u s c r i p t o r e s a \ C o l u m n s \ N o m b r e   d e   P l a n / P a q u e t e 2 < / K e y > < / a : K e y > < a : V a l u e   i : t y p e = " D i a g r a m D i s p l a y N o d e V i e w S t a t e " > < H e i g h t > 1 5 0 < / H e i g h t > < I s E x p a n d e d > t r u e < / I s E x p a n d e d > < W i d t h > 2 0 0 < / W i d t h > < / a : V a l u e > < / a : K e y V a l u e O f D i a g r a m O b j e c t K e y a n y T y p e z b w N T n L X > < a : K e y V a l u e O f D i a g r a m O b j e c t K e y a n y T y p e z b w N T n L X > < a : K e y > < K e y > T a b l e s \ S u s c r i p t o r e s a \ C o l u m n s \ T i p o * 3 < / K e y > < / a : K e y > < a : V a l u e   i : t y p e = " D i a g r a m D i s p l a y N o d e V i e w S t a t e " > < H e i g h t > 1 5 0 < / H e i g h t > < I s E x p a n d e d > t r u e < / I s E x p a n d e d > < W i d t h > 2 0 0 < / W i d t h > < / a : V a l u e > < / a : K e y V a l u e O f D i a g r a m O b j e c t K e y a n y T y p e z b w N T n L X > < a : K e y V a l u e O f D i a g r a m O b j e c t K e y a n y T y p e z b w N T n L X > < a : K e y > < K e y > T a b l e s \ S u s c r i p t o r e s a \ C o l u m n s \ T i p o   d e   p a q u e t e   c o n s i d e r a n d o   S T A R   ( s e r v i c i o s   i n c l u i d o s ) * 4 < / K e y > < / a : K e y > < a : V a l u e   i : t y p e = " D i a g r a m D i s p l a y N o d e V i e w S t a t e " > < H e i g h t > 1 5 0 < / H e i g h t > < I s E x p a n d e d > t r u e < / I s E x p a n d e d > < W i d t h > 2 0 0 < / W i d t h > < / a : V a l u e > < / a : K e y V a l u e O f D i a g r a m O b j e c t K e y a n y T y p e z b w N T n L X > < a : K e y V a l u e O f D i a g r a m O b j e c t K e y a n y T y p e z b w N T n L X > < a : K e y > < K e y > T a b l e s \ S u s c r i p t o r e s a \ C o l u m n s \ E s t a d o 5 < / K e y > < / a : K e y > < a : V a l u e   i : t y p e = " D i a g r a m D i s p l a y N o d e V i e w S t a t e " > < H e i g h t > 1 5 0 < / H e i g h t > < I s E x p a n d e d > t r u e < / I s E x p a n d e d > < W i d t h > 2 0 0 < / W i d t h > < / a : V a l u e > < / a : K e y V a l u e O f D i a g r a m O b j e c t K e y a n y T y p e z b w N T n L X > < a : K e y V a l u e O f D i a g r a m O b j e c t K e y a n y T y p e z b w N T n L X > < a : K e y > < K e y > T a b l e s \ S u s c r i p t o r e s a \ C o l u m n s \ M u n i c i p i o 6 < / K e y > < / a : K e y > < a : V a l u e   i : t y p e = " D i a g r a m D i s p l a y N o d e V i e w S t a t e " > < H e i g h t > 1 5 0 < / H e i g h t > < I s E x p a n d e d > t r u e < / I s E x p a n d e d > < W i d t h > 2 0 0 < / W i d t h > < / a : V a l u e > < / a : K e y V a l u e O f D i a g r a m O b j e c t K e y a n y T y p e z b w N T n L X > < a : K e y V a l u e O f D i a g r a m O b j e c t K e y a n y T y p e z b w N T n L X > < a : K e y > < K e y > T a b l e s \ S u s c r i p t o r e s a \ C o l u m n s \ L o c a l i d a d 7 < / K e y > < / a : K e y > < a : V a l u e   i : t y p e = " D i a g r a m D i s p l a y N o d e V i e w S t a t e " > < H e i g h t > 1 5 0 < / H e i g h t > < I s E x p a n d e d > t r u e < / I s E x p a n d e d > < W i d t h > 2 0 0 < / W i d t h > < / a : V a l u e > < / a : K e y V a l u e O f D i a g r a m O b j e c t K e y a n y T y p e z b w N T n L X > < a : K e y V a l u e O f D i a g r a m O b j e c t K e y a n y T y p e z b w N T n L X > < a : K e y > < K e y > T a b l e s \ S u s c r i p t o r e s a \ C o l u m n s \ m a y o   2 0 2 4 < / K e y > < / a : K e y > < a : V a l u e   i : t y p e = " D i a g r a m D i s p l a y N o d e V i e w S t a t e " > < H e i g h t > 1 5 0 < / H e i g h t > < I s E x p a n d e d > t r u e < / I s E x p a n d e d > < W i d t h > 2 0 0 < / W i d t h > < / a : V a l u e > < / a : K e y V a l u e O f D i a g r a m O b j e c t K e y a n y T y p e z b w N T n L X > < a : K e y V a l u e O f D i a g r a m O b j e c t K e y a n y T y p e z b w N T n L X > < a : K e y > < K e y > T a b l e s \ S u s c r i p t o r e s b < / K e y > < / a : K e y > < a : V a l u e   i : t y p e = " D i a g r a m D i s p l a y N o d e V i e w S t a t e " > < H e i g h t > 3 9 6 < / H e i g h t > < I s E x p a n d e d > t r u e < / I s E x p a n d e d > < L a y e d O u t > t r u e < / L a y e d O u t > < L e f t > 1 5 5 9 . 6 1 5 2 4 2 2 7 0 6 6 3 2 < / L e f t > < T a b I n d e x > 5 < / T a b I n d e x > < W i d t h > 3 3 1 < / W i d t h > < / a : V a l u e > < / a : K e y V a l u e O f D i a g r a m O b j e c t K e y a n y T y p e z b w N T n L X > < a : K e y V a l u e O f D i a g r a m O b j e c t K e y a n y T y p e z b w N T n L X > < a : K e y > < K e y > T a b l e s \ S u s c r i p t o r e s b \ C o l u m n s \ N o m b r e   d e   P l a n / P a q u e t e < / K e y > < / a : K e y > < a : V a l u e   i : t y p e = " D i a g r a m D i s p l a y N o d e V i e w S t a t e " > < H e i g h t > 1 5 0 < / H e i g h t > < I s E x p a n d e d > t r u e < / I s E x p a n d e d > < W i d t h > 2 0 0 < / W i d t h > < / a : V a l u e > < / a : K e y V a l u e O f D i a g r a m O b j e c t K e y a n y T y p e z b w N T n L X > < a : K e y V a l u e O f D i a g r a m O b j e c t K e y a n y T y p e z b w N T n L X > < a : K e y > < K e y > T a b l e s \ S u s c r i p t o r e s b \ C o l u m n s \ T i p o * < / K e y > < / a : K e y > < a : V a l u e   i : t y p e = " D i a g r a m D i s p l a y N o d e V i e w S t a t e " > < H e i g h t > 1 5 0 < / H e i g h t > < I s E x p a n d e d > t r u e < / I s E x p a n d e d > < W i d t h > 2 0 0 < / W i d t h > < / a : V a l u e > < / a : K e y V a l u e O f D i a g r a m O b j e c t K e y a n y T y p e z b w N T n L X > < a : K e y V a l u e O f D i a g r a m O b j e c t K e y a n y T y p e z b w N T n L X > < a : K e y > < K e y > T a b l e s \ S u s c r i p t o r e s b \ C o l u m n s \ E s t a d o < / K e y > < / a : K e y > < a : V a l u e   i : t y p e = " D i a g r a m D i s p l a y N o d e V i e w S t a t e " > < H e i g h t > 1 5 0 < / H e i g h t > < I s E x p a n d e d > t r u e < / I s E x p a n d e d > < W i d t h > 2 0 0 < / W i d t h > < / a : V a l u e > < / a : K e y V a l u e O f D i a g r a m O b j e c t K e y a n y T y p e z b w N T n L X > < a : K e y V a l u e O f D i a g r a m O b j e c t K e y a n y T y p e z b w N T n L X > < a : K e y > < K e y > T a b l e s \ S u s c r i p t o r e s b \ C o l u m n s \ M u n i c i p i o < / K e y > < / a : K e y > < a : V a l u e   i : t y p e = " D i a g r a m D i s p l a y N o d e V i e w S t a t e " > < H e i g h t > 1 5 0 < / H e i g h t > < I s E x p a n d e d > t r u e < / I s E x p a n d e d > < W i d t h > 2 0 0 < / W i d t h > < / a : V a l u e > < / a : K e y V a l u e O f D i a g r a m O b j e c t K e y a n y T y p e z b w N T n L X > < a : K e y V a l u e O f D i a g r a m O b j e c t K e y a n y T y p e z b w N T n L X > < a : K e y > < K e y > T a b l e s \ S u s c r i p t o r e s b \ C o l u m n s \ L o c a l i d a d < / K e y > < / a : K e y > < a : V a l u e   i : t y p e = " D i a g r a m D i s p l a y N o d e V i e w S t a t e " > < H e i g h t > 1 5 0 < / H e i g h t > < I s E x p a n d e d > t r u e < / I s E x p a n d e d > < W i d t h > 2 0 0 < / W i d t h > < / a : V a l u e > < / a : K e y V a l u e O f D i a g r a m O b j e c t K e y a n y T y p e z b w N T n L X > < a : K e y V a l u e O f D i a g r a m O b j e c t K e y a n y T y p e z b w N T n L X > < a : K e y > < K e y > T a b l e s \ S u s c r i p t o r e s b \ C o l u m n s \ d i c i e m b r e   2 0 2 3 < / K e y > < / a : K e y > < a : V a l u e   i : t y p e = " D i a g r a m D i s p l a y N o d e V i e w S t a t e " > < H e i g h t > 1 5 0 < / H e i g h t > < I s E x p a n d e d > t r u e < / I s E x p a n d e d > < W i d t h > 2 0 0 < / W i d t h > < / a : V a l u e > < / a : K e y V a l u e O f D i a g r a m O b j e c t K e y a n y T y p e z b w N T n L X > < a : K e y V a l u e O f D i a g r a m O b j e c t K e y a n y T y p e z b w N T n L X > < a : K e y > < K e y > T a b l e s \ S u s c r i p t o r e s b \ C o l u m n s \ N o m b r e   d e   P l a n / P a q u e t e 2 < / K e y > < / a : K e y > < a : V a l u e   i : t y p e = " D i a g r a m D i s p l a y N o d e V i e w S t a t e " > < H e i g h t > 1 5 0 < / H e i g h t > < I s E x p a n d e d > t r u e < / I s E x p a n d e d > < W i d t h > 2 0 0 < / W i d t h > < / a : V a l u e > < / a : K e y V a l u e O f D i a g r a m O b j e c t K e y a n y T y p e z b w N T n L X > < a : K e y V a l u e O f D i a g r a m O b j e c t K e y a n y T y p e z b w N T n L X > < a : K e y > < K e y > T a b l e s \ S u s c r i p t o r e s b \ C o l u m n s \ T i p o * 3 < / K e y > < / a : K e y > < a : V a l u e   i : t y p e = " D i a g r a m D i s p l a y N o d e V i e w S t a t e " > < H e i g h t > 1 5 0 < / H e i g h t > < I s E x p a n d e d > t r u e < / I s E x p a n d e d > < W i d t h > 2 0 0 < / W i d t h > < / a : V a l u e > < / a : K e y V a l u e O f D i a g r a m O b j e c t K e y a n y T y p e z b w N T n L X > < a : K e y V a l u e O f D i a g r a m O b j e c t K e y a n y T y p e z b w N T n L X > < a : K e y > < K e y > T a b l e s \ S u s c r i p t o r e s b \ C o l u m n s \ E s t a d o 4 < / K e y > < / a : K e y > < a : V a l u e   i : t y p e = " D i a g r a m D i s p l a y N o d e V i e w S t a t e " > < H e i g h t > 1 5 0 < / H e i g h t > < I s E x p a n d e d > t r u e < / I s E x p a n d e d > < W i d t h > 2 0 0 < / W i d t h > < / a : V a l u e > < / a : K e y V a l u e O f D i a g r a m O b j e c t K e y a n y T y p e z b w N T n L X > < a : K e y V a l u e O f D i a g r a m O b j e c t K e y a n y T y p e z b w N T n L X > < a : K e y > < K e y > T a b l e s \ S u s c r i p t o r e s b \ C o l u m n s \ M u n i c i p i o 5 < / K e y > < / a : K e y > < a : V a l u e   i : t y p e = " D i a g r a m D i s p l a y N o d e V i e w S t a t e " > < H e i g h t > 1 5 0 < / H e i g h t > < I s E x p a n d e d > t r u e < / I s E x p a n d e d > < W i d t h > 2 0 0 < / W i d t h > < / a : V a l u e > < / a : K e y V a l u e O f D i a g r a m O b j e c t K e y a n y T y p e z b w N T n L X > < a : K e y V a l u e O f D i a g r a m O b j e c t K e y a n y T y p e z b w N T n L X > < a : K e y > < K e y > T a b l e s \ S u s c r i p t o r e s b \ C o l u m n s \ L o c a l i d a d 6 < / K e y > < / a : K e y > < a : V a l u e   i : t y p e = " D i a g r a m D i s p l a y N o d e V i e w S t a t e " > < H e i g h t > 1 5 0 < / H e i g h t > < I s E x p a n d e d > t r u e < / I s E x p a n d e d > < W i d t h > 2 0 0 < / W i d t h > < / a : V a l u e > < / a : K e y V a l u e O f D i a g r a m O b j e c t K e y a n y T y p e z b w N T n L X > < a : K e y V a l u e O f D i a g r a m O b j e c t K e y a n y T y p e z b w N T n L X > < a : K e y > < K e y > T a b l e s \ S u s c r i p t o r e s b \ C o l u m n s \ m a y o   2 0 2 4 < / K e y > < / a : K e y > < a : V a l u e   i : t y p e = " D i a g r a m D i s p l a y N o d e V i e w S t a t e " > < H e i g h t > 1 5 0 < / H e i g h t > < I s E x p a n d e d > t r u e < / I s E x p a n d e d > < W i d t h > 2 0 0 < / W i d t h > < / a : V a l u e > < / a : K e y V a l u e O f D i a g r a m O b j e c t K e y a n y T y p e z b w N T n L X > < a : K e y V a l u e O f D i a g r a m O b j e c t K e y a n y T y p e z b w N T n L X > < a : K e y > < K e y > T a b l e s \ S u s c r i p t o r e s c < / K e y > < / a : K e y > < a : V a l u e   i : t y p e = " D i a g r a m D i s p l a y N o d e V i e w S t a t e " > < H e i g h t > 4 0 2 < / H e i g h t > < I s E x p a n d e d > t r u e < / I s E x p a n d e d > < L a y e d O u t > t r u e < / L a y e d O u t > < L e f t > 1 8 8 9 . 5 1 9 0 5 2 8 3 8 3 2 9 1 < / L e f t > < T a b I n d e x > 6 < / T a b I n d e x > < W i d t h > 4 1 3 < / W i d t h > < / a : V a l u e > < / a : K e y V a l u e O f D i a g r a m O b j e c t K e y a n y T y p e z b w N T n L X > < a : K e y V a l u e O f D i a g r a m O b j e c t K e y a n y T y p e z b w N T n L X > < a : K e y > < K e y > T a b l e s \ S u s c r i p t o r e s c \ C o l u m n s \ N o m b r e   d e   P l a n / P a q u e t e < / K e y > < / a : K e y > < a : V a l u e   i : t y p e = " D i a g r a m D i s p l a y N o d e V i e w S t a t e " > < H e i g h t > 1 5 0 < / H e i g h t > < I s E x p a n d e d > t r u e < / I s E x p a n d e d > < W i d t h > 2 0 0 < / W i d t h > < / a : V a l u e > < / a : K e y V a l u e O f D i a g r a m O b j e c t K e y a n y T y p e z b w N T n L X > < a : K e y V a l u e O f D i a g r a m O b j e c t K e y a n y T y p e z b w N T n L X > < a : K e y > < K e y > T a b l e s \ S u s c r i p t o r e s c \ C o l u m n s \ T i p o * < / K e y > < / a : K e y > < a : V a l u e   i : t y p e = " D i a g r a m D i s p l a y N o d e V i e w S t a t e " > < H e i g h t > 1 5 0 < / H e i g h t > < I s E x p a n d e d > t r u e < / I s E x p a n d e d > < W i d t h > 2 0 0 < / W i d t h > < / a : V a l u e > < / a : K e y V a l u e O f D i a g r a m O b j e c t K e y a n y T y p e z b w N T n L X > < a : K e y V a l u e O f D i a g r a m O b j e c t K e y a n y T y p e z b w N T n L X > < a : K e y > < K e y > T a b l e s \ S u s c r i p t o r e s c \ C o l u m n s \ T i p o   d e   p a q u e t e   c o n s i d e r a n d o   S T A R   ( s e r v i c i o s   i n c l u i d o s ) * < / K e y > < / a : K e y > < a : V a l u e   i : t y p e = " D i a g r a m D i s p l a y N o d e V i e w S t a t e " > < H e i g h t > 1 5 0 < / H e i g h t > < I s E x p a n d e d > t r u e < / I s E x p a n d e d > < W i d t h > 2 0 0 < / W i d t h > < / a : V a l u e > < / a : K e y V a l u e O f D i a g r a m O b j e c t K e y a n y T y p e z b w N T n L X > < a : K e y V a l u e O f D i a g r a m O b j e c t K e y a n y T y p e z b w N T n L X > < a : K e y > < K e y > T a b l e s \ S u s c r i p t o r e s c \ C o l u m n s \ E s t a d o < / K e y > < / a : K e y > < a : V a l u e   i : t y p e = " D i a g r a m D i s p l a y N o d e V i e w S t a t e " > < H e i g h t > 1 5 0 < / H e i g h t > < I s E x p a n d e d > t r u e < / I s E x p a n d e d > < W i d t h > 2 0 0 < / W i d t h > < / a : V a l u e > < / a : K e y V a l u e O f D i a g r a m O b j e c t K e y a n y T y p e z b w N T n L X > < a : K e y V a l u e O f D i a g r a m O b j e c t K e y a n y T y p e z b w N T n L X > < a : K e y > < K e y > T a b l e s \ S u s c r i p t o r e s c \ C o l u m n s \ M u n i c i p i o < / K e y > < / a : K e y > < a : V a l u e   i : t y p e = " D i a g r a m D i s p l a y N o d e V i e w S t a t e " > < H e i g h t > 1 5 0 < / H e i g h t > < I s E x p a n d e d > t r u e < / I s E x p a n d e d > < W i d t h > 2 0 0 < / W i d t h > < / a : V a l u e > < / a : K e y V a l u e O f D i a g r a m O b j e c t K e y a n y T y p e z b w N T n L X > < a : K e y V a l u e O f D i a g r a m O b j e c t K e y a n y T y p e z b w N T n L X > < a : K e y > < K e y > T a b l e s \ S u s c r i p t o r e s c \ C o l u m n s \ L o c a l i d a d < / K e y > < / a : K e y > < a : V a l u e   i : t y p e = " D i a g r a m D i s p l a y N o d e V i e w S t a t e " > < H e i g h t > 1 5 0 < / H e i g h t > < I s E x p a n d e d > t r u e < / I s E x p a n d e d > < W i d t h > 2 0 0 < / W i d t h > < / a : V a l u e > < / a : K e y V a l u e O f D i a g r a m O b j e c t K e y a n y T y p e z b w N T n L X > < a : K e y V a l u e O f D i a g r a m O b j e c t K e y a n y T y p e z b w N T n L X > < a : K e y > < K e y > T a b l e s \ S u s c r i p t o r e s c \ C o l u m n s \ F i b r a   � p t i c a     2 0 2 3 < / K e y > < / a : K e y > < a : V a l u e   i : t y p e = " D i a g r a m D i s p l a y N o d e V i e w S t a t e " > < H e i g h t > 1 5 0 < / H e i g h t > < I s E x p a n d e d > t r u e < / I s E x p a n d e d > < W i d t h > 2 0 0 < / W i d t h > < / a : V a l u e > < / a : K e y V a l u e O f D i a g r a m O b j e c t K e y a n y T y p e z b w N T n L X > < a : K e y V a l u e O f D i a g r a m O b j e c t K e y a n y T y p e z b w N T n L X > < a : K e y > < K e y > T a b l e s \ S u s c r i p t o r e s c \ C o l u m n s \ C a b l e   C o a x i a l   2 0 2 3 < / K e y > < / a : K e y > < a : V a l u e   i : t y p e = " D i a g r a m D i s p l a y N o d e V i e w S t a t e " > < H e i g h t > 1 5 0 < / H e i g h t > < I s E x p a n d e d > t r u e < / I s E x p a n d e d > < W i d t h > 2 0 0 < / W i d t h > < / a : V a l u e > < / a : K e y V a l u e O f D i a g r a m O b j e c t K e y a n y T y p e z b w N T n L X > < a : K e y V a l u e O f D i a g r a m O b j e c t K e y a n y T y p e z b w N T n L X > < a : K e y > < K e y > T a b l e s \ S u s c r i p t o r e s c \ C o l u m n s \ S a t e l i t a l e s     ( D i r e c t   T o   H o m e   o   D T H ) < / K e y > < / a : K e y > < a : V a l u e   i : t y p e = " D i a g r a m D i s p l a y N o d e V i e w S t a t e " > < H e i g h t > 1 5 0 < / H e i g h t > < I s E x p a n d e d > t r u e < / I s E x p a n d e d > < W i d t h > 2 0 0 < / W i d t h > < / a : V a l u e > < / a : K e y V a l u e O f D i a g r a m O b j e c t K e y a n y T y p e z b w N T n L X > < a : K e y V a l u e O f D i a g r a m O b j e c t K e y a n y T y p e z b w N T n L X > < a : K e y > < K e y > T a b l e s \ S u s c r i p t o r e s c \ C o l u m n s \ O t r a s   t e c n o l o g � a s   [ S e � a l e   e l   t i p o   d e   c o n f i g u r a c i � n   d e   r e d ] < / K e y > < / a : K e y > < a : V a l u e   i : t y p e = " D i a g r a m D i s p l a y N o d e V i e w S t a t e " > < H e i g h t > 1 5 0 < / H e i g h t > < I s E x p a n d e d > t r u e < / I s E x p a n d e d > < W i d t h > 2 0 0 < / W i d t h > < / a : V a l u e > < / a : K e y V a l u e O f D i a g r a m O b j e c t K e y a n y T y p e z b w N T n L X > < a : K e y V a l u e O f D i a g r a m O b j e c t K e y a n y T y p e z b w N T n L X > < a : K e y > < K e y > T a b l e s \ S u s c r i p t o r e s c \ C o l u m n s \ F i b r a   � p t i c a   2 0 2 4 < / K e y > < / a : K e y > < a : V a l u e   i : t y p e = " D i a g r a m D i s p l a y N o d e V i e w S t a t e " > < H e i g h t > 1 5 0 < / H e i g h t > < I s E x p a n d e d > t r u e < / I s E x p a n d e d > < W i d t h > 2 0 0 < / W i d t h > < / a : V a l u e > < / a : K e y V a l u e O f D i a g r a m O b j e c t K e y a n y T y p e z b w N T n L X > < a : K e y V a l u e O f D i a g r a m O b j e c t K e y a n y T y p e z b w N T n L X > < a : K e y > < K e y > T a b l e s \ S u s c r i p t o r e s c \ C o l u m n s \ C a b l e   C o a x i a l   2 0 2 4 < / K e y > < / a : K e y > < a : V a l u e   i : t y p e = " D i a g r a m D i s p l a y N o d e V i e w S t a t e " > < H e i g h t > 1 5 0 < / H e i g h t > < I s E x p a n d e d > t r u e < / I s E x p a n d e d > < W i d t h > 2 0 0 < / W i d t h > < / a : V a l u e > < / a : K e y V a l u e O f D i a g r a m O b j e c t K e y a n y T y p e z b w N T n L X > < a : K e y V a l u e O f D i a g r a m O b j e c t K e y a n y T y p e z b w N T n L X > < a : K e y > < K e y > R e l a t i o n s h i p s \ & l t ; T a b l e s \ T a r i f a s 2 0 2 3 \ C o l u m n s \ F o l i o   R P C & g t ; - & l t ; T a b l e s \ C a n a s t a 2 0 2 4 \ C o l u m n s \ F o l i o   R P C & g t ; < / K e y > < / a : K e y > < a : V a l u e   i : t y p e = " D i a g r a m D i s p l a y L i n k V i e w S t a t e " > < A u t o m a t i o n P r o p e r t y H e l p e r T e x t > E x t r e m o   1 :   ( 2 2 3 . 5 , 7 4 9 . 5 ) .   E x t r e m o   2 :   ( 2 2 3 . 5 , 8 3 6 . 5 )   < / A u t o m a t i o n P r o p e r t y H e l p e r T e x t > < L a y e d O u t > t r u e < / L a y e d O u t > < P o i n t s   x m l n s : b = " h t t p : / / s c h e m a s . d a t a c o n t r a c t . o r g / 2 0 0 4 / 0 7 / S y s t e m . W i n d o w s " > < b : P o i n t > < b : _ x > 2 2 3 . 5 < / b : _ x > < b : _ y > 7 4 9 . 5 < / b : _ y > < / b : P o i n t > < b : P o i n t > < b : _ x > 2 2 3 . 5 < / b : _ x > < b : _ y > 8 3 6 . 5 < / b : _ y > < / b : P o i n t > < / P o i n t s > < / a : V a l u e > < / a : K e y V a l u e O f D i a g r a m O b j e c t K e y a n y T y p e z b w N T n L X > < a : K e y V a l u e O f D i a g r a m O b j e c t K e y a n y T y p e z b w N T n L X > < a : K e y > < K e y > R e l a t i o n s h i p s \ & l t ; T a b l e s \ T a r i f a s 2 0 2 3 \ C o l u m n s \ F o l i o   R P C & g t ; - & l t ; T a b l e s \ C a n a s t a 2 0 2 4 \ C o l u m n s \ F o l i o   R P C & g t ; \ F K < / K e y > < / a : K e y > < a : V a l u e   i : t y p e = " D i a g r a m D i s p l a y L i n k E n d p o i n t V i e w S t a t e " > < H e i g h t > 1 6 < / H e i g h t > < L a b e l L o c a t i o n   x m l n s : b = " h t t p : / / s c h e m a s . d a t a c o n t r a c t . o r g / 2 0 0 4 / 0 7 / S y s t e m . W i n d o w s " > < b : _ x > 2 0 7 . 5 < / b : _ x > < b : _ y > 7 4 1 . 5 < / b : _ y > < / L a b e l L o c a t i o n > < L o c a t i o n   x m l n s : b = " h t t p : / / s c h e m a s . d a t a c o n t r a c t . o r g / 2 0 0 4 / 0 7 / S y s t e m . W i n d o w s " > < b : _ x > 2 0 7 < / b : _ x > < b : _ y > 7 4 7 . 5 < / b : _ y > < / L o c a t i o n > < S h a p e R o t a t e A n g l e > 6 . 9 1 1 2 2 7 1 1 9 0 2 4 6 8 7 2 < / S h a p e R o t a t e A n g l e > < W i d t h > 1 6 < / W i d t h > < / a : V a l u e > < / a : K e y V a l u e O f D i a g r a m O b j e c t K e y a n y T y p e z b w N T n L X > < a : K e y V a l u e O f D i a g r a m O b j e c t K e y a n y T y p e z b w N T n L X > < a : K e y > < K e y > R e l a t i o n s h i p s \ & l t ; T a b l e s \ T a r i f a s 2 0 2 3 \ C o l u m n s \ F o l i o   R P C & g t ; - & l t ; T a b l e s \ C a n a s t a 2 0 2 4 \ C o l u m n s \ F o l i o   R P C & g t ; \ P K < / K e y > < / a : K e y > < a : V a l u e   i : t y p e = " D i a g r a m D i s p l a y L i n k E n d p o i n t V i e w S t a t e " > < H e i g h t > 1 6 < / H e i g h t > < L a b e l L o c a t i o n   x m l n s : b = " h t t p : / / s c h e m a s . d a t a c o n t r a c t . o r g / 2 0 0 4 / 0 7 / S y s t e m . W i n d o w s " > < b : _ x > 2 2 3 . 5 < / b : _ x > < b : _ y > 8 2 8 . 5 < / b : _ y > < / L a b e l L o c a t i o n > < L o c a t i o n   x m l n s : b = " h t t p : / / s c h e m a s . d a t a c o n t r a c t . o r g / 2 0 0 4 / 0 7 / S y s t e m . W i n d o w s " > < b : _ x > 2 3 9 . 9 9 9 9 9 9 9 9 9 9 9 9 9 7 < / b : _ x > < b : _ y > 8 3 8 . 5 < / b : _ y > < / L o c a t i o n > < S h a p e R o t a t e A n g l e > 1 8 6 . 9 1 1 2 2 7 1 1 9 0 2 4 6 9 < / S h a p e R o t a t e A n g l e > < W i d t h > 1 6 < / W i d t h > < / a : V a l u e > < / a : K e y V a l u e O f D i a g r a m O b j e c t K e y a n y T y p e z b w N T n L X > < a : K e y V a l u e O f D i a g r a m O b j e c t K e y a n y T y p e z b w N T n L X > < a : K e y > < K e y > R e l a t i o n s h i p s \ & l t ; T a b l e s \ T a r i f a s 2 0 2 3 \ C o l u m n s \ F o l i o   R P C & g t ; - & l t ; T a b l e s \ C a n a s t a 2 0 2 4 \ C o l u m n s \ F o l i o   R P C & g t ; \ C r o s s F i l t e r < / K e y > < / a : K e y > < a : V a l u e   i : t y p e = " D i a g r a m D i s p l a y L i n k C r o s s F i l t e r V i e w S t a t e " > < P o i n t s   x m l n s : b = " h t t p : / / s c h e m a s . d a t a c o n t r a c t . o r g / 2 0 0 4 / 0 7 / S y s t e m . W i n d o w s " > < b : P o i n t > < b : _ x > 2 2 3 . 5 < / b : _ x > < b : _ y > 7 4 9 . 5 < / b : _ y > < / b : P o i n t > < b : P o i n t > < b : _ x > 2 2 3 . 5 < / b : _ x > < b : _ y > 8 3 6 . 5 < / b : _ y > < / b : P o i n t > < / P o i n t s > < / a : V a l u e > < / a : K e y V a l u e O f D i a g r a m O b j e c t K e y a n y T y p e z b w N T n L X > < a : K e y V a l u e O f D i a g r a m O b j e c t K e y a n y T y p e z b w N T n L X > < a : K e y > < K e y > R e l a t i o n s h i p s \ & l t ; T a b l e s \ T a r i f a s 2 0 2 3 \ C o l u m n s \ F o l i o   R P C & g t ; - & l t ; T a b l e s \ T a r i f a s 2 0 2 4 \ C o l u m n s \ F o l i o   R P C & g t ; < / K e y > < / a : K e y > < a : V a l u e   i : t y p e = " D i a g r a m D i s p l a y L i n k V i e w S t a t e " > < A u t o m a t i o n P r o p e r t y H e l p e r T e x t > E x t r e m o   1 :   ( 1 0 3 . 5 , - 1 6 ) .   E x t r e m o   2 :   ( 7 0 0 . 9 0 3 8 1 1 , - 1 6 . 0 0 0 0 0 0 0 0 0 0 0 0 2 )   < / A u t o m a t i o n P r o p e r t y H e l p e r T e x t > < L a y e d O u t > t r u e < / L a y e d O u t > < P o i n t s   x m l n s : b = " h t t p : / / s c h e m a s . d a t a c o n t r a c t . o r g / 2 0 0 4 / 0 7 / S y s t e m . W i n d o w s " > < b : P o i n t > < b : _ x > 1 0 3 . 5 < / b : _ x > < b : _ y > - 1 5 . 9 9 9 9 9 9 9 9 9 9 9 9 9 7 9 < / b : _ y > < / b : P o i n t > < b : P o i n t > < b : _ x > 1 0 3 . 5 < / b : _ x > < b : _ y > - 1 7 . 5 < / b : _ y > < / b : P o i n t > < b : P o i n t > < b : _ x > 1 0 5 . 5 < / b : _ x > < b : _ y > - 1 9 . 5 < / b : _ y > < / b : P o i n t > < b : P o i n t > < b : _ x > 6 9 8 . 9 0 3 8 1 1 < / b : _ x > < b : _ y > - 1 9 . 5 < / b : _ y > < / b : P o i n t > < b : P o i n t > < b : _ x > 7 0 0 . 9 0 3 8 1 1 < / b : _ x > < b : _ y > - 1 7 . 5 < / b : _ y > < / b : P o i n t > < b : P o i n t > < b : _ x > 7 0 0 . 9 0 3 8 1 1 < / b : _ x > < b : _ y > - 1 6 . 0 0 0 0 0 0 0 0 0 0 0 0 2 1 < / b : _ y > < / b : P o i n t > < / P o i n t s > < / a : V a l u e > < / a : K e y V a l u e O f D i a g r a m O b j e c t K e y a n y T y p e z b w N T n L X > < a : K e y V a l u e O f D i a g r a m O b j e c t K e y a n y T y p e z b w N T n L X > < a : K e y > < K e y > R e l a t i o n s h i p s \ & l t ; T a b l e s \ T a r i f a s 2 0 2 3 \ C o l u m n s \ F o l i o   R P C & g t ; - & l t ; T a b l e s \ T a r i f a s 2 0 2 4 \ C o l u m n s \ F o l i o   R P C & g t ; \ F K < / K e y > < / a : K e y > < a : V a l u e   i : t y p e = " D i a g r a m D i s p l a y L i n k E n d p o i n t V i e w S t a t e " > < H e i g h t > 1 6 < / H e i g h t > < L a b e l L o c a t i o n   x m l n s : b = " h t t p : / / s c h e m a s . d a t a c o n t r a c t . o r g / 2 0 0 4 / 0 7 / S y s t e m . W i n d o w s " > < b : _ x > 9 5 . 5 < / b : _ x > < b : _ y > - 1 5 . 9 9 9 9 9 9 9 9 9 9 9 9 9 7 9 < / b : _ y > < / L a b e l L o c a t i o n > < L o c a t i o n   x m l n s : b = " h t t p : / / s c h e m a s . d a t a c o n t r a c t . o r g / 2 0 0 4 / 0 7 / S y s t e m . W i n d o w s " > < b : _ x > 1 0 3 . 5 < / b : _ x > < b : _ y > 2 . 1 3 1 6 2 8 2 0 7 2 8 0 3 0 0 6 E - 1 4 < / b : _ y > < / L o c a t i o n > < S h a p e R o t a t e A n g l e > 2 7 0 < / S h a p e R o t a t e A n g l e > < W i d t h > 1 6 < / W i d t h > < / a : V a l u e > < / a : K e y V a l u e O f D i a g r a m O b j e c t K e y a n y T y p e z b w N T n L X > < a : K e y V a l u e O f D i a g r a m O b j e c t K e y a n y T y p e z b w N T n L X > < a : K e y > < K e y > R e l a t i o n s h i p s \ & l t ; T a b l e s \ T a r i f a s 2 0 2 3 \ C o l u m n s \ F o l i o   R P C & g t ; - & l t ; T a b l e s \ T a r i f a s 2 0 2 4 \ C o l u m n s \ F o l i o   R P C & g t ; \ P K < / K e y > < / a : K e y > < a : V a l u e   i : t y p e = " D i a g r a m D i s p l a y L i n k E n d p o i n t V i e w S t a t e " > < H e i g h t > 1 6 < / H e i g h t > < L a b e l L o c a t i o n   x m l n s : b = " h t t p : / / s c h e m a s . d a t a c o n t r a c t . o r g / 2 0 0 4 / 0 7 / S y s t e m . W i n d o w s " > < b : _ x > 6 9 2 . 9 0 3 8 1 1 < / b : _ x > < b : _ y > - 1 6 . 0 0 0 0 0 0 0 0 0 0 0 0 2 1 < / b : _ y > < / L a b e l L o c a t i o n > < L o c a t i o n   x m l n s : b = " h t t p : / / s c h e m a s . d a t a c o n t r a c t . o r g / 2 0 0 4 / 0 7 / S y s t e m . W i n d o w s " > < b : _ x > 7 0 0 . 9 0 3 8 1 1 < / b : _ x > < b : _ y > - 2 . 1 6 7 1 5 5 3 4 4 0 6 8 3 0 5 6 E - 1 3 < / b : _ y > < / L o c a t i o n > < S h a p e R o t a t e A n g l e > 2 7 0 < / S h a p e R o t a t e A n g l e > < W i d t h > 1 6 < / W i d t h > < / a : V a l u e > < / a : K e y V a l u e O f D i a g r a m O b j e c t K e y a n y T y p e z b w N T n L X > < a : K e y V a l u e O f D i a g r a m O b j e c t K e y a n y T y p e z b w N T n L X > < a : K e y > < K e y > R e l a t i o n s h i p s \ & l t ; T a b l e s \ T a r i f a s 2 0 2 3 \ C o l u m n s \ F o l i o   R P C & g t ; - & l t ; T a b l e s \ T a r i f a s 2 0 2 4 \ C o l u m n s \ F o l i o   R P C & g t ; \ C r o s s F i l t e r < / K e y > < / a : K e y > < a : V a l u e   i : t y p e = " D i a g r a m D i s p l a y L i n k C r o s s F i l t e r V i e w S t a t e " > < P o i n t s   x m l n s : b = " h t t p : / / s c h e m a s . d a t a c o n t r a c t . o r g / 2 0 0 4 / 0 7 / S y s t e m . W i n d o w s " > < b : P o i n t > < b : _ x > 1 0 3 . 5 < / b : _ x > < b : _ y > - 1 5 . 9 9 9 9 9 9 9 9 9 9 9 9 9 7 9 < / b : _ y > < / b : P o i n t > < b : P o i n t > < b : _ x > 1 0 3 . 5 < / b : _ x > < b : _ y > - 1 7 . 5 < / b : _ y > < / b : P o i n t > < b : P o i n t > < b : _ x > 1 0 5 . 5 < / b : _ x > < b : _ y > - 1 9 . 5 < / b : _ y > < / b : P o i n t > < b : P o i n t > < b : _ x > 6 9 8 . 9 0 3 8 1 1 < / b : _ x > < b : _ y > - 1 9 . 5 < / b : _ y > < / b : P o i n t > < b : P o i n t > < b : _ x > 7 0 0 . 9 0 3 8 1 1 < / b : _ x > < b : _ y > - 1 7 . 5 < / b : _ y > < / b : P o i n t > < b : P o i n t > < b : _ x > 7 0 0 . 9 0 3 8 1 1 < / b : _ x > < b : _ y > - 1 6 . 0 0 0 0 0 0 0 0 0 0 0 0 2 1 < / b : _ y > < / b : P o i n t > < / P o i n t s > < / a : V a l u e > < / a : K e y V a l u e O f D i a g r a m O b j e c t K e y a n y T y p e z b w N T n L X > < a : K e y V a l u e O f D i a g r a m O b j e c t K e y a n y T y p e z b w N T n L X > < a : K e y > < K e y > R e l a t i o n s h i p s \ & l t ; T a b l e s \ C a n a s t a 2 0 2 4 \ C o l u m n s \ F o l i o   R P C & g t ; - & l t ; T a b l e s \ C a n a s t a 2 0 2 3 \ C o l u m n s \ F o l i o   R P C & g t ; < / K e y > < / a : K e y > < a : V a l u e   i : t y p e = " D i a g r a m D i s p l a y L i n k V i e w S t a t e " > < A u t o m a t i o n P r o p e r t y H e l p e r T e x t > E x t r e m o   1 :   ( 4 0 0 . 5 , - 1 6 ) .   E x t r e m o   2 :   ( 1 0 2 0 . 8 0 7 6 2 1 , - 1 6 . 0 0 0 0 0 0 0 0 0 0 0 0 1 )   < / A u t o m a t i o n P r o p e r t y H e l p e r T e x t > < L a y e d O u t > t r u e < / L a y e d O u t > < P o i n t s   x m l n s : b = " h t t p : / / s c h e m a s . d a t a c o n t r a c t . o r g / 2 0 0 4 / 0 7 / S y s t e m . W i n d o w s " > < b : P o i n t > < b : _ x > 4 0 0 . 5 < / b : _ x > < b : _ y > - 1 5 . 9 9 9 9 9 9 9 9 9 9 9 9 9 9 5 < / b : _ y > < / b : P o i n t > < b : P o i n t > < b : _ x > 4 0 0 . 5 < / b : _ x > < b : _ y > - 2 2 . 5 < / b : _ y > < / b : P o i n t > < b : P o i n t > < b : _ x > 4 0 2 . 5 < / b : _ x > < b : _ y > - 2 4 . 5 < / b : _ y > < / b : P o i n t > < b : P o i n t > < b : _ x > 1 0 1 8 . 8 0 7 6 2 1 < / b : _ x > < b : _ y > - 2 4 . 5 < / b : _ y > < / b : P o i n t > < b : P o i n t > < b : _ x > 1 0 2 0 . 8 0 7 6 2 1 < / b : _ x > < b : _ y > - 2 2 . 5 < / b : _ y > < / b : P o i n t > < b : P o i n t > < b : _ x > 1 0 2 0 . 8 0 7 6 2 1 < / b : _ x > < b : _ y > - 1 6 . 0 0 0 0 0 0 0 0 0 0 0 0 1 4 6 < / b : _ y > < / b : P o i n t > < / P o i n t s > < / a : V a l u e > < / a : K e y V a l u e O f D i a g r a m O b j e c t K e y a n y T y p e z b w N T n L X > < a : K e y V a l u e O f D i a g r a m O b j e c t K e y a n y T y p e z b w N T n L X > < a : K e y > < K e y > R e l a t i o n s h i p s \ & l t ; T a b l e s \ C a n a s t a 2 0 2 4 \ C o l u m n s \ F o l i o   R P C & g t ; - & l t ; T a b l e s \ C a n a s t a 2 0 2 3 \ C o l u m n s \ F o l i o   R P C & g t ; \ F K < / K e y > < / a : K e y > < a : V a l u e   i : t y p e = " D i a g r a m D i s p l a y L i n k E n d p o i n t V i e w S t a t e " > < H e i g h t > 1 6 < / H e i g h t > < L a b e l L o c a t i o n   x m l n s : b = " h t t p : / / s c h e m a s . d a t a c o n t r a c t . o r g / 2 0 0 4 / 0 7 / S y s t e m . W i n d o w s " > < b : _ x > 3 9 2 . 5 < / b : _ x > < b : _ y > - 1 5 . 9 9 9 9 9 9 9 9 9 9 9 9 9 9 5 < / b : _ y > < / L a b e l L o c a t i o n > < L o c a t i o n   x m l n s : b = " h t t p : / / s c h e m a s . d a t a c o n t r a c t . o r g / 2 0 0 4 / 0 7 / S y s t e m . W i n d o w s " > < b : _ x > 4 0 0 . 5 < / b : _ x > < b : _ y > 7 . 1 0 5 4 2 7 3 5 7 6 0 1 0 0 1 9 E - 1 5 < / b : _ y > < / L o c a t i o n > < S h a p e R o t a t e A n g l e > 2 7 0 < / S h a p e R o t a t e A n g l e > < W i d t h > 1 6 < / W i d t h > < / a : V a l u e > < / a : K e y V a l u e O f D i a g r a m O b j e c t K e y a n y T y p e z b w N T n L X > < a : K e y V a l u e O f D i a g r a m O b j e c t K e y a n y T y p e z b w N T n L X > < a : K e y > < K e y > R e l a t i o n s h i p s \ & l t ; T a b l e s \ C a n a s t a 2 0 2 4 \ C o l u m n s \ F o l i o   R P C & g t ; - & l t ; T a b l e s \ C a n a s t a 2 0 2 3 \ C o l u m n s \ F o l i o   R P C & g t ; \ P K < / K e y > < / a : K e y > < a : V a l u e   i : t y p e = " D i a g r a m D i s p l a y L i n k E n d p o i n t V i e w S t a t e " > < H e i g h t > 1 6 < / H e i g h t > < L a b e l L o c a t i o n   x m l n s : b = " h t t p : / / s c h e m a s . d a t a c o n t r a c t . o r g / 2 0 0 4 / 0 7 / S y s t e m . W i n d o w s " > < b : _ x > 1 0 1 2 . 8 0 7 6 2 1 < / b : _ x > < b : _ y > - 1 6 . 0 0 0 0 0 0 0 0 0 0 0 0 1 4 6 < / b : _ y > < / L a b e l L o c a t i o n > < L o c a t i o n   x m l n s : b = " h t t p : / / s c h e m a s . d a t a c o n t r a c t . o r g / 2 0 0 4 / 0 7 / S y s t e m . W i n d o w s " > < b : _ x > 1 0 2 0 . 8 0 7 6 2 1 < / b : _ x > < b : _ y > - 1 . 5 2 7 6 6 6 8 8 1 8 8 4 2 1 5 4 E - 1 3 < / b : _ y > < / L o c a t i o n > < S h a p e R o t a t e A n g l e > 2 7 0 < / S h a p e R o t a t e A n g l e > < W i d t h > 1 6 < / W i d t h > < / a : V a l u e > < / a : K e y V a l u e O f D i a g r a m O b j e c t K e y a n y T y p e z b w N T n L X > < a : K e y V a l u e O f D i a g r a m O b j e c t K e y a n y T y p e z b w N T n L X > < a : K e y > < K e y > R e l a t i o n s h i p s \ & l t ; T a b l e s \ C a n a s t a 2 0 2 4 \ C o l u m n s \ F o l i o   R P C & g t ; - & l t ; T a b l e s \ C a n a s t a 2 0 2 3 \ C o l u m n s \ F o l i o   R P C & g t ; \ C r o s s F i l t e r < / K e y > < / a : K e y > < a : V a l u e   i : t y p e = " D i a g r a m D i s p l a y L i n k C r o s s F i l t e r V i e w S t a t e " > < P o i n t s   x m l n s : b = " h t t p : / / s c h e m a s . d a t a c o n t r a c t . o r g / 2 0 0 4 / 0 7 / S y s t e m . W i n d o w s " > < b : P o i n t > < b : _ x > 4 0 0 . 5 < / b : _ x > < b : _ y > - 1 5 . 9 9 9 9 9 9 9 9 9 9 9 9 9 9 5 < / b : _ y > < / b : P o i n t > < b : P o i n t > < b : _ x > 4 0 0 . 5 < / b : _ x > < b : _ y > - 2 2 . 5 < / b : _ y > < / b : P o i n t > < b : P o i n t > < b : _ x > 4 0 2 . 5 < / b : _ x > < b : _ y > - 2 4 . 5 < / b : _ y > < / b : P o i n t > < b : P o i n t > < b : _ x > 1 0 1 8 . 8 0 7 6 2 1 < / b : _ x > < b : _ y > - 2 4 . 5 < / b : _ y > < / b : P o i n t > < b : P o i n t > < b : _ x > 1 0 2 0 . 8 0 7 6 2 1 < / b : _ x > < b : _ y > - 2 2 . 5 < / b : _ y > < / b : P o i n t > < b : P o i n t > < b : _ x > 1 0 2 0 . 8 0 7 6 2 1 < / b : _ x > < b : _ y > - 1 6 . 0 0 0 0 0 0 0 0 0 0 0 0 1 4 6 < / b : _ y > < / b : P o i n t > < / P o i n t s > < / a : V a l u e > < / a : K e y V a l u e O f D i a g r a m O b j e c t K e y a n y T y p e z b w N T n L X > < / V i e w S t a t e s > < / D i a g r a m M a n a g e r . S e r i a l i z a b l e D i a g r a m > < D i a g r a m M a n a g e r . S e r i a l i z a b l e D i a g r a m > < A d a p t e r   i : t y p e = " M e a s u r e D i a g r a m S a n d b o x A d a p t e r " > < T a b l e N a m e > T a r i f a s 2 0 2 3 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 T a r i f a s 2 0 2 3 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 N o m b r e   d e   P l a n / P a q u e t e < / K e y > < / D i a g r a m O b j e c t K e y > < D i a g r a m O b j e c t K e y > < K e y > M e a s u r e s \ R e c u e n t o   d e   N o m b r e   d e   P l a n / P a q u e t e \ T a g I n f o \ F � r m u l a < / K e y > < / D i a g r a m O b j e c t K e y > < D i a g r a m O b j e c t K e y > < K e y > M e a s u r e s \ S u m a   d e   R e n t a   m e n s u a l   ( s i n   i m p u e s t o s ) < / K e y > < / D i a g r a m O b j e c t K e y > < D i a g r a m O b j e c t K e y > < K e y > M e a s u r e s \ S u m a   d e   R e n t a   m e n s u a l   ( s i n   i m p u e s t o s ) \ T a g I n f o \ F � r m u l a < / K e y > < / D i a g r a m O b j e c t K e y > < D i a g r a m O b j e c t K e y > < K e y > C o l u m n s \ N o m b r e   d e   P l a n / P a q u e t e < / K e y > < / D i a g r a m O b j e c t K e y > < D i a g r a m O b j e c t K e y > < K e y > C o l u m n s \ T i p o * < / K e y > < / D i a g r a m O b j e c t K e y > < D i a g r a m O b j e c t K e y > < K e y > C o l u m n s \ T i p o   d e   p a q u e t e   c o n s i d e r a n d o   S T A R   ( s e r v i c i o s   i n c l u i d o s ) * < / K e y > < / D i a g r a m O b j e c t K e y > < D i a g r a m O b j e c t K e y > < K e y > C o l u m n s \ E s q u e m a * < / K e y > < / D i a g r a m O b j e c t K e y > < D i a g r a m O b j e c t K e y > < K e y > C o l u m n s \ P e r i o d o   d e   p a g o < / K e y > < / D i a g r a m O b j e c t K e y > < D i a g r a m O b j e c t K e y > < K e y > C o l u m n s \ E s t a d o < / K e y > < / D i a g r a m O b j e c t K e y > < D i a g r a m O b j e c t K e y > < K e y > C o l u m n s \ M u n i c i p i o < / K e y > < / D i a g r a m O b j e c t K e y > < D i a g r a m O b j e c t K e y > < K e y > C o l u m n s \ L o c a l i d a d < / K e y > < / D i a g r a m O b j e c t K e y > < D i a g r a m O b j e c t K e y > < K e y > C o l u m n s \ F o l i o   R P C < / K e y > < / D i a g r a m O b j e c t K e y > < D i a g r a m O b j e c t K e y > < K e y > C o l u m n s \ R e n t a   m e n s u a l   ( s i n   i m p u e s t o s ) < / K e y > < / D i a g r a m O b j e c t K e y > < D i a g r a m O b j e c t K e y > < K e y > C o l u m n s \ R e n t a   m e n s u a l     ( c o n   i m p u e s t o s ) < / K e y > < / D i a g r a m O b j e c t K e y > < D i a g r a m O b j e c t K e y > < K e y > C o l u m n s \ � T i e n e   p r o m o c i o n e s   a s o c i a d a s   a l   p a q u e t e   q u e   a j u s t e n   l a   t a r i f a   d e   l a   r e n t a   m e n s u a l ?   ( S i / N o ) < / K e y > < / D i a g r a m O b j e c t K e y > < D i a g r a m O b j e c t K e y > < K e y > C o l u m n s \ P r o m o c i � n   d e   " D e s c u e n t o   d e   s u   m e n s u a l i d a d "   p o r   u n   p e r i o d o   e s p e c � f i c o < / K e y > < / D i a g r a m O b j e c t K e y > < D i a g r a m O b j e c t K e y > < K e y > C o l u m n s \ R e n t a   m e n s u a l   c o n   t a r i f a   p r o m o c i o n a l   ( s i n   i m p u e s t o s ) < / K e y > < / D i a g r a m O b j e c t K e y > < D i a g r a m O b j e c t K e y > < K e y > C o l u m n s \ D u r a c i � n   d e   l a   p r o m o c i � n   ( e n   m e s e s ) < / K e y > < / D i a g r a m O b j e c t K e y > < D i a g r a m O b j e c t K e y > < K e y > C o l u m n s \ T � r m i n o s   y   c o n d i c i o n e s < / K e y > < / D i a g r a m O b j e c t K e y > < D i a g r a m O b j e c t K e y > < K e y > C o l u m n s \ P r o m o c i � n   p o r   " D o m i c i l i a c i � n "   d e   l a   r e n t a   m e n s u a l < / K e y > < / D i a g r a m O b j e c t K e y > < D i a g r a m O b j e c t K e y > < K e y > C o l u m n s \ R e n t a   m e n u s u a l   c o n   t a r i f a   p r o m o c i o n a l   ( s i n   i m p u e s t o s ) < / K e y > < / D i a g r a m O b j e c t K e y > < D i a g r a m O b j e c t K e y > < K e y > C o l u m n s \ D u r a c i � n   d e   l a   p r o m o c i � n   ( e n   m e s e s ) 2 < / K e y > < / D i a g r a m O b j e c t K e y > < D i a g r a m O b j e c t K e y > < K e y > C o l u m n s \ T � r m i n o s   y   c o n d i c i o n e s 3 < / K e y > < / D i a g r a m O b j e c t K e y > < D i a g r a m O b j e c t K e y > < K e y > C o l u m n s \ P r o m o c i � n   p o r   " A n u a l i d a d " < / K e y > < / D i a g r a m O b j e c t K e y > < D i a g r a m O b j e c t K e y > < K e y > C o l u m n s \ R e n t a   m e n u s u a l   c o n   t a r i f a   p r o m o c i o n a l   ( s i n   i m p u e s t o s ) 4 < / K e y > < / D i a g r a m O b j e c t K e y > < D i a g r a m O b j e c t K e y > < K e y > C o l u m n s \ D u r a c i � n   d e   l a   p r o m o c i � n   ( e n   m e s e s ) 5 < / K e y > < / D i a g r a m O b j e c t K e y > < D i a g r a m O b j e c t K e y > < K e y > C o l u m n s \ T � r m i n o s   y   c o n d i c i o n e s 6 < / K e y > < / D i a g r a m O b j e c t K e y > < D i a g r a m O b j e c t K e y > < K e y > C o l u m n s \ P r o m o c i � n   p o r   " C l i e n t e   a c t u a l   d e   T V " < / K e y > < / D i a g r a m O b j e c t K e y > < D i a g r a m O b j e c t K e y > < K e y > C o l u m n s \ R e n t a   m e n u s u a l   c o n   t a r i f a   p r o m o c i o n a l   ( s i n   i m p u e s t o s ) 7 < / K e y > < / D i a g r a m O b j e c t K e y > < D i a g r a m O b j e c t K e y > < K e y > C o l u m n s \ D u r a c i � n   d e   l a   p r o m o c i � n   ( e n   m e s e s ) 8 < / K e y > < / D i a g r a m O b j e c t K e y > < D i a g r a m O b j e c t K e y > < K e y > C o l u m n s \ T � r m i n o s   y   c o n d i c i o n e s 9 < / K e y > < / D i a g r a m O b j e c t K e y > < D i a g r a m O b j e c t K e y > < K e y > C o l u m n s \ � C u e n t a   c o n   i n c e n t i v o s   p r o m o c i o n a l e s   p o r   l a   c o n t r a t a c i � n   d e   a l g � n   s e r v i c i o   O T T   q u e   a j u s t e   e l   m o n t o   d < / K e y > < / D i a g r a m O b j e c t K e y > < D i a g r a m O b j e c t K e y > < K e y > C o l u m n s \ T a r i f a   N e t f l i x   E s t � n d a r   c o n   a n u n c i o s   ( s i n   i m p u e s t o s ) < / K e y > < / D i a g r a m O b j e c t K e y > < D i a g r a m O b j e c t K e y > < K e y > C o l u m n s \ R e n t a   m e n u s u a l   p r o m o c i o n a l   p o r   l a   c o n t r a t a c i � n   d e l   N e t f l i x   E s t � n d a r   c o n   a n u n c i o s   ( s i n   i m p u e s t o s ) < / K e y > < / D i a g r a m O b j e c t K e y > < D i a g r a m O b j e c t K e y > < K e y > C o l u m n s \ T � r m i n o s   y   c o n d i c i o n e s 1 0 < / K e y > < / D i a g r a m O b j e c t K e y > < D i a g r a m O b j e c t K e y > < K e y > C o l u m n s \ T a r i f a   N e t f l i x   E s t � n d a r   ( s i n   i m p u e s t o s ) < / K e y > < / D i a g r a m O b j e c t K e y > < D i a g r a m O b j e c t K e y > < K e y > C o l u m n s \ R e n t a   m e n u s u a l   p r o m o c i o n a l   p o r   l a   c o n t r a t a c i � n   d e l   N e t f l i x   E s t � n d a r   ( s i n   i m p u e s t o s ) < / K e y > < / D i a g r a m O b j e c t K e y > < D i a g r a m O b j e c t K e y > < K e y > C o l u m n s \ T � r m i n o s   y   c o n d i c i o n e s 1 1 < / K e y > < / D i a g r a m O b j e c t K e y > < D i a g r a m O b j e c t K e y > < K e y > C o l u m n s \ T a r i f a   N e t f l i x   P r e m i u m   ( s i n   i m p u e s t o s ) < / K e y > < / D i a g r a m O b j e c t K e y > < D i a g r a m O b j e c t K e y > < K e y > C o l u m n s \ R e n t a   m e n u s u a l   p r o m o c i o n a l   p o r   l a   c o n t r a t a c i � n   d e l   N e t f l i x   P r e m i u m   ( s i n   i m p u e s t o s ) < / K e y > < / D i a g r a m O b j e c t K e y > < D i a g r a m O b j e c t K e y > < K e y > C o l u m n s \ T � r m i n o s   y   c o n d i c i o n e s 1 2 < / K e y > < / D i a g r a m O b j e c t K e y > < D i a g r a m O b j e c t K e y > < K e y > C o l u m n s \ T a r i f a   A m a z o n   P r i m e   ( s i n   i m p u e s t o s ) < / K e y > < / D i a g r a m O b j e c t K e y > < D i a g r a m O b j e c t K e y > < K e y > C o l u m n s \ R e n t a   m e n u s u a l   p r o m o c i o n a l   p o r   l a   c o n t r a t a c i � n   P r i m e   V i d e o   ( s i n   i m p u e s t o s ) < / K e y > < / D i a g r a m O b j e c t K e y > < D i a g r a m O b j e c t K e y > < K e y > C o l u m n s \ T � r m i n o s   y   c o n d i c i o n e s 1 3 < / K e y > < / D i a g r a m O b j e c t K e y > < D i a g r a m O b j e c t K e y > < K e y > C o l u m n s \ T a r i f a   m a x     ( s i n   i m p u e s t o s ) < / K e y > < / D i a g r a m O b j e c t K e y > < D i a g r a m O b j e c t K e y > < K e y > C o l u m n s \ R e n t a   m e n u s u a l   p r o m o c i o n a l   p o r   l a   c o n t r a t a c i � n   m a x     ( s i n   i m p u e s t o s ) < / K e y > < / D i a g r a m O b j e c t K e y > < D i a g r a m O b j e c t K e y > < K e y > C o l u m n s \ T � r m i n o s   y   c o n d i c i o n e s 1 4 < / K e y > < / D i a g r a m O b j e c t K e y > < D i a g r a m O b j e c t K e y > < K e y > C o l u m n s \ T a r i f a   P a r a m o u n t   +   ( s i n   i m p u e s t o s ) < / K e y > < / D i a g r a m O b j e c t K e y > < D i a g r a m O b j e c t K e y > < K e y > C o l u m n s \ R e n t a   m e n u s u a l   p r o m o c i o n a l   p o r   l a   c o n t r a t a c i � n   P a r a m o u n t   +   ( s i n   i m p u e s t o s ) < / K e y > < / D i a g r a m O b j e c t K e y > < D i a g r a m O b j e c t K e y > < K e y > C o l u m n s \ T � r m i n o s   y   c o n d i c i o n e s 1 5 < / K e y > < / D i a g r a m O b j e c t K e y > < D i a g r a m O b j e c t K e y > < K e y > C o l u m n s \ T a r i f a   D i s n e y   +     ( s i n   i m p u e s t o s ) < / K e y > < / D i a g r a m O b j e c t K e y > < D i a g r a m O b j e c t K e y > < K e y > C o l u m n s \ R e n t a   m e n u s u a l   p r o m o c i o n a l   p o r   l a   c o n t r a t a c i � n   D i s n e y   +     ( s i n   i m p u e s t o s ) < / K e y > < / D i a g r a m O b j e c t K e y > < D i a g r a m O b j e c t K e y > < K e y > C o l u m n s \ T � r m i n o s   y   c o n d i c i o n e s 1 6 < / K e y > < / D i a g r a m O b j e c t K e y > < D i a g r a m O b j e c t K e y > < K e y > C o l u m n s \ T a r i f a   S t a r   +     ( s i n   i m p u e s t o s ) < / K e y > < / D i a g r a m O b j e c t K e y > < D i a g r a m O b j e c t K e y > < K e y > C o l u m n s \ R e n t a   m e n u s u a l   p r o m o c i o n a l   p o r   l a   c o n t r a t a c i � n   S t a r   +     ( s i n   i m p u e s t o s ) < / K e y > < / D i a g r a m O b j e c t K e y > < D i a g r a m O b j e c t K e y > < K e y > C o l u m n s \ T � r m i n o s   y   c o n d i c i o n e s 1 7 < / K e y > < / D i a g r a m O b j e c t K e y > < D i a g r a m O b j e c t K e y > < K e y > C o l u m n s \ T a r i f a   C o m b o   +   ( s i n   i m p u e s t o s ) < / K e y > < / D i a g r a m O b j e c t K e y > < D i a g r a m O b j e c t K e y > < K e y > C o l u m n s \ R e n t a   m e n u s u a l   p r o m o c i o n a l   p o r   l a   c o n t r a t a c i � n   C o m b o   ( s i n   i m p u e s t o s ) < / K e y > < / D i a g r a m O b j e c t K e y > < D i a g r a m O b j e c t K e y > < K e y > C o l u m n s \ T � r m i n o s   y   c o n d i c i o n e s 1 8 < / K e y > < / D i a g r a m O b j e c t K e y > < D i a g r a m O b j e c t K e y > < K e y > C o l u m n s \ T a r i f a   F o x   S p o r t   P r e m i u m     ( s i n   i m p u e s t o s ) < / K e y > < / D i a g r a m O b j e c t K e y > < D i a g r a m O b j e c t K e y > < K e y > C o l u m n s \ R e n t a   m e n u s u a l   p r o m o c i o n a l   p o r   l a   c o n t r a t a c i � n   F o x   S p o r t   P r e m i u m   ( s i n   i m p u e s t o s ) < / K e y > < / D i a g r a m O b j e c t K e y > < D i a g r a m O b j e c t K e y > < K e y > C o l u m n s \ T � r m i n o s   y   c o n d i c i o n e s 1 9 < / K e y > < / D i a g r a m O b j e c t K e y > < D i a g r a m O b j e c t K e y > < K e y > L i n k s \ & l t ; C o l u m n s \ R e c u e n t o   d e   N o m b r e   d e   P l a n / P a q u e t e & g t ; - & l t ; M e a s u r e s \ N o m b r e   d e   P l a n / P a q u e t e & g t ; < / K e y > < / D i a g r a m O b j e c t K e y > < D i a g r a m O b j e c t K e y > < K e y > L i n k s \ & l t ; C o l u m n s \ R e c u e n t o   d e   N o m b r e   d e   P l a n / P a q u e t e & g t ; - & l t ; M e a s u r e s \ N o m b r e   d e   P l a n / P a q u e t e & g t ; \ C O L U M N < / K e y > < / D i a g r a m O b j e c t K e y > < D i a g r a m O b j e c t K e y > < K e y > L i n k s \ & l t ; C o l u m n s \ R e c u e n t o   d e   N o m b r e   d e   P l a n / P a q u e t e & g t ; - & l t ; M e a s u r e s \ N o m b r e   d e   P l a n / P a q u e t e & g t ; \ M E A S U R E < / K e y > < / D i a g r a m O b j e c t K e y > < D i a g r a m O b j e c t K e y > < K e y > L i n k s \ & l t ; C o l u m n s \ S u m a   d e   R e n t a   m e n s u a l   ( s i n   i m p u e s t o s ) & g t ; - & l t ; M e a s u r e s \ R e n t a   m e n s u a l   ( s i n   i m p u e s t o s ) & g t ; < / K e y > < / D i a g r a m O b j e c t K e y > < D i a g r a m O b j e c t K e y > < K e y > L i n k s \ & l t ; C o l u m n s \ S u m a   d e   R e n t a   m e n s u a l   ( s i n   i m p u e s t o s ) & g t ; - & l t ; M e a s u r e s \ R e n t a   m e n s u a l   ( s i n   i m p u e s t o s ) & g t ; \ C O L U M N < / K e y > < / D i a g r a m O b j e c t K e y > < D i a g r a m O b j e c t K e y > < K e y > L i n k s \ & l t ; C o l u m n s \ S u m a   d e   R e n t a   m e n s u a l   ( s i n   i m p u e s t o s ) & g t ; - & l t ; M e a s u r e s \ R e n t a   m e n s u a l   ( s i n   i m p u e s t o s ) & g t ; \ M E A S U R E 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 N o m b r e   d e   P l a n / P a q u e t e < / K e y > < / a : K e y > < a : V a l u e   i : t y p e = " M e a s u r e G r i d N o d e V i e w S t a t e " > < L a y e d O u t > t r u e < / L a y e d O u t > < W a s U I I n v i s i b l e > t r u e < / W a s U I I n v i s i b l e > < / a : V a l u e > < / a : K e y V a l u e O f D i a g r a m O b j e c t K e y a n y T y p e z b w N T n L X > < a : K e y V a l u e O f D i a g r a m O b j e c t K e y a n y T y p e z b w N T n L X > < a : K e y > < K e y > M e a s u r e s \ R e c u e n t o   d e   N o m b r e   d e   P l a n / P a q u e t e \ T a g I n f o \ F � r m u l a < / K e y > < / a : K e y > < a : V a l u e   i : t y p e = " M e a s u r e G r i d V i e w S t a t e I D i a g r a m T a g A d d i t i o n a l I n f o " / > < / a : K e y V a l u e O f D i a g r a m O b j e c t K e y a n y T y p e z b w N T n L X > < a : K e y V a l u e O f D i a g r a m O b j e c t K e y a n y T y p e z b w N T n L X > < a : K e y > < K e y > M e a s u r e s \ S u m a   d e   R e n t a   m e n s u a l   ( s i n   i m p u e s t o s ) < / K e y > < / a : K e y > < a : V a l u e   i : t y p e = " M e a s u r e G r i d N o d e V i e w S t a t e " > < C o l u m n > 9 < / C o l u m n > < L a y e d O u t > t r u e < / L a y e d O u t > < W a s U I I n v i s i b l e > t r u e < / W a s U I I n v i s i b l e > < / a : V a l u e > < / a : K e y V a l u e O f D i a g r a m O b j e c t K e y a n y T y p e z b w N T n L X > < a : K e y V a l u e O f D i a g r a m O b j e c t K e y a n y T y p e z b w N T n L X > < a : K e y > < K e y > M e a s u r e s \ S u m a   d e   R e n t a   m e n s u a l   ( s i n   i m p u e s t o s ) \ T a g I n f o \ F � r m u l a < / K e y > < / a : K e y > < a : V a l u e   i : t y p e = " M e a s u r e G r i d V i e w S t a t e I D i a g r a m T a g A d d i t i o n a l I n f o " / > < / a : K e y V a l u e O f D i a g r a m O b j e c t K e y a n y T y p e z b w N T n L X > < a : K e y V a l u e O f D i a g r a m O b j e c t K e y a n y T y p e z b w N T n L X > < a : K e y > < K e y > C o l u m n s \ N o m b r e   d e   P l a n / P a q u e t e < / K e y > < / a : K e y > < a : V a l u e   i : t y p e = " M e a s u r e G r i d N o d e V i e w S t a t e " > < L a y e d O u t > t r u e < / L a y e d O u t > < / a : V a l u e > < / a : K e y V a l u e O f D i a g r a m O b j e c t K e y a n y T y p e z b w N T n L X > < a : K e y V a l u e O f D i a g r a m O b j e c t K e y a n y T y p e z b w N T n L X > < a : K e y > < K e y > C o l u m n s \ T i p o * < / K e y > < / a : K e y > < a : V a l u e   i : t y p e = " M e a s u r e G r i d N o d e V i e w S t a t e " > < C o l u m n > 1 < / C o l u m n > < L a y e d O u t > t r u e < / L a y e d O u t > < / a : V a l u e > < / a : K e y V a l u e O f D i a g r a m O b j e c t K e y a n y T y p e z b w N T n L X > < a : K e y V a l u e O f D i a g r a m O b j e c t K e y a n y T y p e z b w N T n L X > < a : K e y > < K e y > C o l u m n s \ T i p o   d e   p a q u e t e   c o n s i d e r a n d o   S T A R   ( s e r v i c i o s   i n c l u i d o s ) * < / K e y > < / a : K e y > < a : V a l u e   i : t y p e = " M e a s u r e G r i d N o d e V i e w S t a t e " > < C o l u m n > 2 < / C o l u m n > < L a y e d O u t > t r u e < / L a y e d O u t > < / a : V a l u e > < / a : K e y V a l u e O f D i a g r a m O b j e c t K e y a n y T y p e z b w N T n L X > < a : K e y V a l u e O f D i a g r a m O b j e c t K e y a n y T y p e z b w N T n L X > < a : K e y > < K e y > C o l u m n s \ E s q u e m a * < / K e y > < / a : K e y > < a : V a l u e   i : t y p e = " M e a s u r e G r i d N o d e V i e w S t a t e " > < C o l u m n > 3 < / C o l u m n > < L a y e d O u t > t r u e < / L a y e d O u t > < / a : V a l u e > < / a : K e y V a l u e O f D i a g r a m O b j e c t K e y a n y T y p e z b w N T n L X > < a : K e y V a l u e O f D i a g r a m O b j e c t K e y a n y T y p e z b w N T n L X > < a : K e y > < K e y > C o l u m n s \ P e r i o d o   d e   p a g o < / 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 C o l u m n s \ M u n i c i p i o < / K e y > < / a : K e y > < a : V a l u e   i : t y p e = " M e a s u r e G r i d N o d e V i e w S t a t e " > < C o l u m n > 6 < / C o l u m n > < L a y e d O u t > t r u e < / L a y e d O u t > < / a : V a l u e > < / a : K e y V a l u e O f D i a g r a m O b j e c t K e y a n y T y p e z b w N T n L X > < a : K e y V a l u e O f D i a g r a m O b j e c t K e y a n y T y p e z b w N T n L X > < a : K e y > < K e y > C o l u m n s \ L o c a l i d a d < / K e y > < / a : K e y > < a : V a l u e   i : t y p e = " M e a s u r e G r i d N o d e V i e w S t a t e " > < C o l u m n > 7 < / C o l u m n > < L a y e d O u t > t r u e < / L a y e d O u t > < / a : V a l u e > < / a : K e y V a l u e O f D i a g r a m O b j e c t K e y a n y T y p e z b w N T n L X > < a : K e y V a l u e O f D i a g r a m O b j e c t K e y a n y T y p e z b w N T n L X > < a : K e y > < K e y > C o l u m n s \ F o l i o   R P C < / K e y > < / a : K e y > < a : V a l u e   i : t y p e = " M e a s u r e G r i d N o d e V i e w S t a t e " > < C o l u m n > 8 < / C o l u m n > < L a y e d O u t > t r u e < / L a y e d O u t > < / a : V a l u e > < / a : K e y V a l u e O f D i a g r a m O b j e c t K e y a n y T y p e z b w N T n L X > < a : K e y V a l u e O f D i a g r a m O b j e c t K e y a n y T y p e z b w N T n L X > < a : K e y > < K e y > C o l u m n s \ R e n t a   m e n s u a l   ( s i n   i m p u e s t o s ) < / K e y > < / a : K e y > < a : V a l u e   i : t y p e = " M e a s u r e G r i d N o d e V i e w S t a t e " > < C o l u m n > 9 < / C o l u m n > < L a y e d O u t > t r u e < / L a y e d O u t > < / a : V a l u e > < / a : K e y V a l u e O f D i a g r a m O b j e c t K e y a n y T y p e z b w N T n L X > < a : K e y V a l u e O f D i a g r a m O b j e c t K e y a n y T y p e z b w N T n L X > < a : K e y > < K e y > C o l u m n s \ R e n t a   m e n s u a l     ( c o n   i m p u e s t o s ) < / K e y > < / a : K e y > < a : V a l u e   i : t y p e = " M e a s u r e G r i d N o d e V i e w S t a t e " > < C o l u m n > 1 0 < / C o l u m n > < L a y e d O u t > t r u e < / L a y e d O u t > < / a : V a l u e > < / a : K e y V a l u e O f D i a g r a m O b j e c t K e y a n y T y p e z b w N T n L X > < a : K e y V a l u e O f D i a g r a m O b j e c t K e y a n y T y p e z b w N T n L X > < a : K e y > < K e y > C o l u m n s \ � T i e n e   p r o m o c i o n e s   a s o c i a d a s   a l   p a q u e t e   q u e   a j u s t e n   l a   t a r i f a   d e   l a   r e n t a   m e n s u a l ?   ( S i / N o ) < / K e y > < / a : K e y > < a : V a l u e   i : t y p e = " M e a s u r e G r i d N o d e V i e w S t a t e " > < C o l u m n > 1 1 < / C o l u m n > < L a y e d O u t > t r u e < / L a y e d O u t > < / a : V a l u e > < / a : K e y V a l u e O f D i a g r a m O b j e c t K e y a n y T y p e z b w N T n L X > < a : K e y V a l u e O f D i a g r a m O b j e c t K e y a n y T y p e z b w N T n L X > < a : K e y > < K e y > C o l u m n s \ P r o m o c i � n   d e   " D e s c u e n t o   d e   s u   m e n s u a l i d a d "   p o r   u n   p e r i o d o   e s p e c � f i c o < / K e y > < / a : K e y > < a : V a l u e   i : t y p e = " M e a s u r e G r i d N o d e V i e w S t a t e " > < C o l u m n > 1 2 < / C o l u m n > < L a y e d O u t > t r u e < / L a y e d O u t > < / a : V a l u e > < / a : K e y V a l u e O f D i a g r a m O b j e c t K e y a n y T y p e z b w N T n L X > < a : K e y V a l u e O f D i a g r a m O b j e c t K e y a n y T y p e z b w N T n L X > < a : K e y > < K e y > C o l u m n s \ R e n t a   m e n s u a l   c o n   t a r i f a   p r o m o c i o n a l   ( s i n   i m p u e s t o s ) < / K e y > < / a : K e y > < a : V a l u e   i : t y p e = " M e a s u r e G r i d N o d e V i e w S t a t e " > < C o l u m n > 1 3 < / C o l u m n > < L a y e d O u t > t r u e < / L a y e d O u t > < / a : V a l u e > < / a : K e y V a l u e O f D i a g r a m O b j e c t K e y a n y T y p e z b w N T n L X > < a : K e y V a l u e O f D i a g r a m O b j e c t K e y a n y T y p e z b w N T n L X > < a : K e y > < K e y > C o l u m n s \ D u r a c i � n   d e   l a   p r o m o c i � n   ( e n   m e s e s ) < / K e y > < / a : K e y > < a : V a l u e   i : t y p e = " M e a s u r e G r i d N o d e V i e w S t a t e " > < C o l u m n > 1 4 < / C o l u m n > < L a y e d O u t > t r u e < / L a y e d O u t > < / a : V a l u e > < / a : K e y V a l u e O f D i a g r a m O b j e c t K e y a n y T y p e z b w N T n L X > < a : K e y V a l u e O f D i a g r a m O b j e c t K e y a n y T y p e z b w N T n L X > < a : K e y > < K e y > C o l u m n s \ T � r m i n o s   y   c o n d i c i o n e s < / K e y > < / a : K e y > < a : V a l u e   i : t y p e = " M e a s u r e G r i d N o d e V i e w S t a t e " > < C o l u m n > 1 5 < / C o l u m n > < L a y e d O u t > t r u e < / L a y e d O u t > < / a : V a l u e > < / a : K e y V a l u e O f D i a g r a m O b j e c t K e y a n y T y p e z b w N T n L X > < a : K e y V a l u e O f D i a g r a m O b j e c t K e y a n y T y p e z b w N T n L X > < a : K e y > < K e y > C o l u m n s \ P r o m o c i � n   p o r   " D o m i c i l i a c i � n "   d e   l a   r e n t a   m e n s u a l < / K e y > < / a : K e y > < a : V a l u e   i : t y p e = " M e a s u r e G r i d N o d e V i e w S t a t e " > < C o l u m n > 1 6 < / C o l u m n > < L a y e d O u t > t r u e < / L a y e d O u t > < / a : V a l u e > < / a : K e y V a l u e O f D i a g r a m O b j e c t K e y a n y T y p e z b w N T n L X > < a : K e y V a l u e O f D i a g r a m O b j e c t K e y a n y T y p e z b w N T n L X > < a : K e y > < K e y > C o l u m n s \ R e n t a   m e n u s u a l   c o n   t a r i f a   p r o m o c i o n a l   ( s i n   i m p u e s t o s ) < / K e y > < / a : K e y > < a : V a l u e   i : t y p e = " M e a s u r e G r i d N o d e V i e w S t a t e " > < C o l u m n > 1 7 < / C o l u m n > < L a y e d O u t > t r u e < / L a y e d O u t > < / a : V a l u e > < / a : K e y V a l u e O f D i a g r a m O b j e c t K e y a n y T y p e z b w N T n L X > < a : K e y V a l u e O f D i a g r a m O b j e c t K e y a n y T y p e z b w N T n L X > < a : K e y > < K e y > C o l u m n s \ D u r a c i � n   d e   l a   p r o m o c i � n   ( e n   m e s e s ) 2 < / K e y > < / a : K e y > < a : V a l u e   i : t y p e = " M e a s u r e G r i d N o d e V i e w S t a t e " > < C o l u m n > 1 8 < / C o l u m n > < L a y e d O u t > t r u e < / L a y e d O u t > < / a : V a l u e > < / a : K e y V a l u e O f D i a g r a m O b j e c t K e y a n y T y p e z b w N T n L X > < a : K e y V a l u e O f D i a g r a m O b j e c t K e y a n y T y p e z b w N T n L X > < a : K e y > < K e y > C o l u m n s \ T � r m i n o s   y   c o n d i c i o n e s 3 < / K e y > < / a : K e y > < a : V a l u e   i : t y p e = " M e a s u r e G r i d N o d e V i e w S t a t e " > < C o l u m n > 1 9 < / C o l u m n > < L a y e d O u t > t r u e < / L a y e d O u t > < / a : V a l u e > < / a : K e y V a l u e O f D i a g r a m O b j e c t K e y a n y T y p e z b w N T n L X > < a : K e y V a l u e O f D i a g r a m O b j e c t K e y a n y T y p e z b w N T n L X > < a : K e y > < K e y > C o l u m n s \ P r o m o c i � n   p o r   " A n u a l i d a d " < / K e y > < / a : K e y > < a : V a l u e   i : t y p e = " M e a s u r e G r i d N o d e V i e w S t a t e " > < C o l u m n > 2 0 < / C o l u m n > < L a y e d O u t > t r u e < / L a y e d O u t > < / a : V a l u e > < / a : K e y V a l u e O f D i a g r a m O b j e c t K e y a n y T y p e z b w N T n L X > < a : K e y V a l u e O f D i a g r a m O b j e c t K e y a n y T y p e z b w N T n L X > < a : K e y > < K e y > C o l u m n s \ R e n t a   m e n u s u a l   c o n   t a r i f a   p r o m o c i o n a l   ( s i n   i m p u e s t o s ) 4 < / K e y > < / a : K e y > < a : V a l u e   i : t y p e = " M e a s u r e G r i d N o d e V i e w S t a t e " > < C o l u m n > 2 1 < / C o l u m n > < L a y e d O u t > t r u e < / L a y e d O u t > < / a : V a l u e > < / a : K e y V a l u e O f D i a g r a m O b j e c t K e y a n y T y p e z b w N T n L X > < a : K e y V a l u e O f D i a g r a m O b j e c t K e y a n y T y p e z b w N T n L X > < a : K e y > < K e y > C o l u m n s \ D u r a c i � n   d e   l a   p r o m o c i � n   ( e n   m e s e s ) 5 < / K e y > < / a : K e y > < a : V a l u e   i : t y p e = " M e a s u r e G r i d N o d e V i e w S t a t e " > < C o l u m n > 2 2 < / C o l u m n > < L a y e d O u t > t r u e < / L a y e d O u t > < / a : V a l u e > < / a : K e y V a l u e O f D i a g r a m O b j e c t K e y a n y T y p e z b w N T n L X > < a : K e y V a l u e O f D i a g r a m O b j e c t K e y a n y T y p e z b w N T n L X > < a : K e y > < K e y > C o l u m n s \ T � r m i n o s   y   c o n d i c i o n e s 6 < / K e y > < / a : K e y > < a : V a l u e   i : t y p e = " M e a s u r e G r i d N o d e V i e w S t a t e " > < C o l u m n > 2 3 < / C o l u m n > < L a y e d O u t > t r u e < / L a y e d O u t > < / a : V a l u e > < / a : K e y V a l u e O f D i a g r a m O b j e c t K e y a n y T y p e z b w N T n L X > < a : K e y V a l u e O f D i a g r a m O b j e c t K e y a n y T y p e z b w N T n L X > < a : K e y > < K e y > C o l u m n s \ P r o m o c i � n   p o r   " C l i e n t e   a c t u a l   d e   T V " < / K e y > < / a : K e y > < a : V a l u e   i : t y p e = " M e a s u r e G r i d N o d e V i e w S t a t e " > < C o l u m n > 2 4 < / C o l u m n > < L a y e d O u t > t r u e < / L a y e d O u t > < / a : V a l u e > < / a : K e y V a l u e O f D i a g r a m O b j e c t K e y a n y T y p e z b w N T n L X > < a : K e y V a l u e O f D i a g r a m O b j e c t K e y a n y T y p e z b w N T n L X > < a : K e y > < K e y > C o l u m n s \ R e n t a   m e n u s u a l   c o n   t a r i f a   p r o m o c i o n a l   ( s i n   i m p u e s t o s ) 7 < / K e y > < / a : K e y > < a : V a l u e   i : t y p e = " M e a s u r e G r i d N o d e V i e w S t a t e " > < C o l u m n > 2 5 < / C o l u m n > < L a y e d O u t > t r u e < / L a y e d O u t > < / a : V a l u e > < / a : K e y V a l u e O f D i a g r a m O b j e c t K e y a n y T y p e z b w N T n L X > < a : K e y V a l u e O f D i a g r a m O b j e c t K e y a n y T y p e z b w N T n L X > < a : K e y > < K e y > C o l u m n s \ D u r a c i � n   d e   l a   p r o m o c i � n   ( e n   m e s e s ) 8 < / K e y > < / a : K e y > < a : V a l u e   i : t y p e = " M e a s u r e G r i d N o d e V i e w S t a t e " > < C o l u m n > 2 6 < / C o l u m n > < L a y e d O u t > t r u e < / L a y e d O u t > < / a : V a l u e > < / a : K e y V a l u e O f D i a g r a m O b j e c t K e y a n y T y p e z b w N T n L X > < a : K e y V a l u e O f D i a g r a m O b j e c t K e y a n y T y p e z b w N T n L X > < a : K e y > < K e y > C o l u m n s \ T � r m i n o s   y   c o n d i c i o n e s 9 < / K e y > < / a : K e y > < a : V a l u e   i : t y p e = " M e a s u r e G r i d N o d e V i e w S t a t e " > < C o l u m n > 2 7 < / C o l u m n > < L a y e d O u t > t r u e < / L a y e d O u t > < / a : V a l u e > < / a : K e y V a l u e O f D i a g r a m O b j e c t K e y a n y T y p e z b w N T n L X > < a : K e y V a l u e O f D i a g r a m O b j e c t K e y a n y T y p e z b w N T n L X > < a : K e y > < K e y > C o l u m n s \ � C u e n t a   c o n   i n c e n t i v o s   p r o m o c i o n a l e s   p o r   l a   c o n t r a t a c i � n   d e   a l g � n   s e r v i c i o   O T T   q u e   a j u s t e   e l   m o n t o   d < / K e y > < / a : K e y > < a : V a l u e   i : t y p e = " M e a s u r e G r i d N o d e V i e w S t a t e " > < C o l u m n > 2 8 < / C o l u m n > < L a y e d O u t > t r u e < / L a y e d O u t > < / a : V a l u e > < / a : K e y V a l u e O f D i a g r a m O b j e c t K e y a n y T y p e z b w N T n L X > < a : K e y V a l u e O f D i a g r a m O b j e c t K e y a n y T y p e z b w N T n L X > < a : K e y > < K e y > C o l u m n s \ T a r i f a   N e t f l i x   E s t � n d a r   c o n   a n u n c i o s   ( s i n   i m p u e s t o s ) < / K e y > < / a : K e y > < a : V a l u e   i : t y p e = " M e a s u r e G r i d N o d e V i e w S t a t e " > < C o l u m n > 2 9 < / C o l u m n > < L a y e d O u t > t r u e < / L a y e d O u t > < / a : V a l u e > < / a : K e y V a l u e O f D i a g r a m O b j e c t K e y a n y T y p e z b w N T n L X > < a : K e y V a l u e O f D i a g r a m O b j e c t K e y a n y T y p e z b w N T n L X > < a : K e y > < K e y > C o l u m n s \ R e n t a   m e n u s u a l   p r o m o c i o n a l   p o r   l a   c o n t r a t a c i � n   d e l   N e t f l i x   E s t � n d a r   c o n   a n u n c i o s   ( s i n   i m p u e s t o s ) < / K e y > < / a : K e y > < a : V a l u e   i : t y p e = " M e a s u r e G r i d N o d e V i e w S t a t e " > < C o l u m n > 3 0 < / C o l u m n > < L a y e d O u t > t r u e < / L a y e d O u t > < / a : V a l u e > < / a : K e y V a l u e O f D i a g r a m O b j e c t K e y a n y T y p e z b w N T n L X > < a : K e y V a l u e O f D i a g r a m O b j e c t K e y a n y T y p e z b w N T n L X > < a : K e y > < K e y > C o l u m n s \ T � r m i n o s   y   c o n d i c i o n e s 1 0 < / K e y > < / a : K e y > < a : V a l u e   i : t y p e = " M e a s u r e G r i d N o d e V i e w S t a t e " > < C o l u m n > 3 1 < / C o l u m n > < L a y e d O u t > t r u e < / L a y e d O u t > < / a : V a l u e > < / a : K e y V a l u e O f D i a g r a m O b j e c t K e y a n y T y p e z b w N T n L X > < a : K e y V a l u e O f D i a g r a m O b j e c t K e y a n y T y p e z b w N T n L X > < a : K e y > < K e y > C o l u m n s \ T a r i f a   N e t f l i x   E s t � n d a r   ( s i n   i m p u e s t o s ) < / K e y > < / a : K e y > < a : V a l u e   i : t y p e = " M e a s u r e G r i d N o d e V i e w S t a t e " > < C o l u m n > 3 2 < / C o l u m n > < L a y e d O u t > t r u e < / L a y e d O u t > < / a : V a l u e > < / a : K e y V a l u e O f D i a g r a m O b j e c t K e y a n y T y p e z b w N T n L X > < a : K e y V a l u e O f D i a g r a m O b j e c t K e y a n y T y p e z b w N T n L X > < a : K e y > < K e y > C o l u m n s \ R e n t a   m e n u s u a l   p r o m o c i o n a l   p o r   l a   c o n t r a t a c i � n   d e l   N e t f l i x   E s t � n d a r   ( s i n   i m p u e s t o s ) < / K e y > < / a : K e y > < a : V a l u e   i : t y p e = " M e a s u r e G r i d N o d e V i e w S t a t e " > < C o l u m n > 3 3 < / C o l u m n > < L a y e d O u t > t r u e < / L a y e d O u t > < / a : V a l u e > < / a : K e y V a l u e O f D i a g r a m O b j e c t K e y a n y T y p e z b w N T n L X > < a : K e y V a l u e O f D i a g r a m O b j e c t K e y a n y T y p e z b w N T n L X > < a : K e y > < K e y > C o l u m n s \ T � r m i n o s   y   c o n d i c i o n e s 1 1 < / K e y > < / a : K e y > < a : V a l u e   i : t y p e = " M e a s u r e G r i d N o d e V i e w S t a t e " > < C o l u m n > 3 4 < / C o l u m n > < L a y e d O u t > t r u e < / L a y e d O u t > < / a : V a l u e > < / a : K e y V a l u e O f D i a g r a m O b j e c t K e y a n y T y p e z b w N T n L X > < a : K e y V a l u e O f D i a g r a m O b j e c t K e y a n y T y p e z b w N T n L X > < a : K e y > < K e y > C o l u m n s \ T a r i f a   N e t f l i x   P r e m i u m   ( s i n   i m p u e s t o s ) < / K e y > < / a : K e y > < a : V a l u e   i : t y p e = " M e a s u r e G r i d N o d e V i e w S t a t e " > < C o l u m n > 3 5 < / C o l u m n > < L a y e d O u t > t r u e < / L a y e d O u t > < / a : V a l u e > < / a : K e y V a l u e O f D i a g r a m O b j e c t K e y a n y T y p e z b w N T n L X > < a : K e y V a l u e O f D i a g r a m O b j e c t K e y a n y T y p e z b w N T n L X > < a : K e y > < K e y > C o l u m n s \ R e n t a   m e n u s u a l   p r o m o c i o n a l   p o r   l a   c o n t r a t a c i � n   d e l   N e t f l i x   P r e m i u m   ( s i n   i m p u e s t o s ) < / K e y > < / a : K e y > < a : V a l u e   i : t y p e = " M e a s u r e G r i d N o d e V i e w S t a t e " > < C o l u m n > 3 6 < / C o l u m n > < L a y e d O u t > t r u e < / L a y e d O u t > < / a : V a l u e > < / a : K e y V a l u e O f D i a g r a m O b j e c t K e y a n y T y p e z b w N T n L X > < a : K e y V a l u e O f D i a g r a m O b j e c t K e y a n y T y p e z b w N T n L X > < a : K e y > < K e y > C o l u m n s \ T � r m i n o s   y   c o n d i c i o n e s 1 2 < / K e y > < / a : K e y > < a : V a l u e   i : t y p e = " M e a s u r e G r i d N o d e V i e w S t a t e " > < C o l u m n > 3 7 < / C o l u m n > < L a y e d O u t > t r u e < / L a y e d O u t > < / a : V a l u e > < / a : K e y V a l u e O f D i a g r a m O b j e c t K e y a n y T y p e z b w N T n L X > < a : K e y V a l u e O f D i a g r a m O b j e c t K e y a n y T y p e z b w N T n L X > < a : K e y > < K e y > C o l u m n s \ T a r i f a   A m a z o n   P r i m e   ( s i n   i m p u e s t o s ) < / K e y > < / a : K e y > < a : V a l u e   i : t y p e = " M e a s u r e G r i d N o d e V i e w S t a t e " > < C o l u m n > 3 8 < / C o l u m n > < L a y e d O u t > t r u e < / L a y e d O u t > < / a : V a l u e > < / a : K e y V a l u e O f D i a g r a m O b j e c t K e y a n y T y p e z b w N T n L X > < a : K e y V a l u e O f D i a g r a m O b j e c t K e y a n y T y p e z b w N T n L X > < a : K e y > < K e y > C o l u m n s \ R e n t a   m e n u s u a l   p r o m o c i o n a l   p o r   l a   c o n t r a t a c i � n   P r i m e   V i d e o   ( s i n   i m p u e s t o s ) < / K e y > < / a : K e y > < a : V a l u e   i : t y p e = " M e a s u r e G r i d N o d e V i e w S t a t e " > < C o l u m n > 3 9 < / C o l u m n > < L a y e d O u t > t r u e < / L a y e d O u t > < / a : V a l u e > < / a : K e y V a l u e O f D i a g r a m O b j e c t K e y a n y T y p e z b w N T n L X > < a : K e y V a l u e O f D i a g r a m O b j e c t K e y a n y T y p e z b w N T n L X > < a : K e y > < K e y > C o l u m n s \ T � r m i n o s   y   c o n d i c i o n e s 1 3 < / K e y > < / a : K e y > < a : V a l u e   i : t y p e = " M e a s u r e G r i d N o d e V i e w S t a t e " > < C o l u m n > 4 0 < / C o l u m n > < L a y e d O u t > t r u e < / L a y e d O u t > < / a : V a l u e > < / a : K e y V a l u e O f D i a g r a m O b j e c t K e y a n y T y p e z b w N T n L X > < a : K e y V a l u e O f D i a g r a m O b j e c t K e y a n y T y p e z b w N T n L X > < a : K e y > < K e y > C o l u m n s \ T a r i f a   m a x     ( s i n   i m p u e s t o s ) < / K e y > < / a : K e y > < a : V a l u e   i : t y p e = " M e a s u r e G r i d N o d e V i e w S t a t e " > < C o l u m n > 4 1 < / C o l u m n > < L a y e d O u t > t r u e < / L a y e d O u t > < / a : V a l u e > < / a : K e y V a l u e O f D i a g r a m O b j e c t K e y a n y T y p e z b w N T n L X > < a : K e y V a l u e O f D i a g r a m O b j e c t K e y a n y T y p e z b w N T n L X > < a : K e y > < K e y > C o l u m n s \ R e n t a   m e n u s u a l   p r o m o c i o n a l   p o r   l a   c o n t r a t a c i � n   m a x     ( s i n   i m p u e s t o s ) < / K e y > < / a : K e y > < a : V a l u e   i : t y p e = " M e a s u r e G r i d N o d e V i e w S t a t e " > < C o l u m n > 4 2 < / C o l u m n > < L a y e d O u t > t r u e < / L a y e d O u t > < / a : V a l u e > < / a : K e y V a l u e O f D i a g r a m O b j e c t K e y a n y T y p e z b w N T n L X > < a : K e y V a l u e O f D i a g r a m O b j e c t K e y a n y T y p e z b w N T n L X > < a : K e y > < K e y > C o l u m n s \ T � r m i n o s   y   c o n d i c i o n e s 1 4 < / K e y > < / a : K e y > < a : V a l u e   i : t y p e = " M e a s u r e G r i d N o d e V i e w S t a t e " > < C o l u m n > 4 3 < / C o l u m n > < L a y e d O u t > t r u e < / L a y e d O u t > < / a : V a l u e > < / a : K e y V a l u e O f D i a g r a m O b j e c t K e y a n y T y p e z b w N T n L X > < a : K e y V a l u e O f D i a g r a m O b j e c t K e y a n y T y p e z b w N T n L X > < a : K e y > < K e y > C o l u m n s \ T a r i f a   P a r a m o u n t   +   ( s i n   i m p u e s t o s ) < / K e y > < / a : K e y > < a : V a l u e   i : t y p e = " M e a s u r e G r i d N o d e V i e w S t a t e " > < C o l u m n > 4 4 < / C o l u m n > < L a y e d O u t > t r u e < / L a y e d O u t > < / a : V a l u e > < / a : K e y V a l u e O f D i a g r a m O b j e c t K e y a n y T y p e z b w N T n L X > < a : K e y V a l u e O f D i a g r a m O b j e c t K e y a n y T y p e z b w N T n L X > < a : K e y > < K e y > C o l u m n s \ R e n t a   m e n u s u a l   p r o m o c i o n a l   p o r   l a   c o n t r a t a c i � n   P a r a m o u n t   +   ( s i n   i m p u e s t o s ) < / K e y > < / a : K e y > < a : V a l u e   i : t y p e = " M e a s u r e G r i d N o d e V i e w S t a t e " > < C o l u m n > 4 5 < / C o l u m n > < L a y e d O u t > t r u e < / L a y e d O u t > < / a : V a l u e > < / a : K e y V a l u e O f D i a g r a m O b j e c t K e y a n y T y p e z b w N T n L X > < a : K e y V a l u e O f D i a g r a m O b j e c t K e y a n y T y p e z b w N T n L X > < a : K e y > < K e y > C o l u m n s \ T � r m i n o s   y   c o n d i c i o n e s 1 5 < / K e y > < / a : K e y > < a : V a l u e   i : t y p e = " M e a s u r e G r i d N o d e V i e w S t a t e " > < C o l u m n > 4 6 < / C o l u m n > < L a y e d O u t > t r u e < / L a y e d O u t > < / a : V a l u e > < / a : K e y V a l u e O f D i a g r a m O b j e c t K e y a n y T y p e z b w N T n L X > < a : K e y V a l u e O f D i a g r a m O b j e c t K e y a n y T y p e z b w N T n L X > < a : K e y > < K e y > C o l u m n s \ T a r i f a   D i s n e y   +     ( s i n   i m p u e s t o s ) < / K e y > < / a : K e y > < a : V a l u e   i : t y p e = " M e a s u r e G r i d N o d e V i e w S t a t e " > < C o l u m n > 4 7 < / C o l u m n > < L a y e d O u t > t r u e < / L a y e d O u t > < / a : V a l u e > < / a : K e y V a l u e O f D i a g r a m O b j e c t K e y a n y T y p e z b w N T n L X > < a : K e y V a l u e O f D i a g r a m O b j e c t K e y a n y T y p e z b w N T n L X > < a : K e y > < K e y > C o l u m n s \ R e n t a   m e n u s u a l   p r o m o c i o n a l   p o r   l a   c o n t r a t a c i � n   D i s n e y   +     ( s i n   i m p u e s t o s ) < / K e y > < / a : K e y > < a : V a l u e   i : t y p e = " M e a s u r e G r i d N o d e V i e w S t a t e " > < C o l u m n > 4 8 < / C o l u m n > < L a y e d O u t > t r u e < / L a y e d O u t > < / a : V a l u e > < / a : K e y V a l u e O f D i a g r a m O b j e c t K e y a n y T y p e z b w N T n L X > < a : K e y V a l u e O f D i a g r a m O b j e c t K e y a n y T y p e z b w N T n L X > < a : K e y > < K e y > C o l u m n s \ T � r m i n o s   y   c o n d i c i o n e s 1 6 < / K e y > < / a : K e y > < a : V a l u e   i : t y p e = " M e a s u r e G r i d N o d e V i e w S t a t e " > < C o l u m n > 4 9 < / C o l u m n > < L a y e d O u t > t r u e < / L a y e d O u t > < / a : V a l u e > < / a : K e y V a l u e O f D i a g r a m O b j e c t K e y a n y T y p e z b w N T n L X > < a : K e y V a l u e O f D i a g r a m O b j e c t K e y a n y T y p e z b w N T n L X > < a : K e y > < K e y > C o l u m n s \ T a r i f a   S t a r   +     ( s i n   i m p u e s t o s ) < / K e y > < / a : K e y > < a : V a l u e   i : t y p e = " M e a s u r e G r i d N o d e V i e w S t a t e " > < C o l u m n > 5 0 < / C o l u m n > < L a y e d O u t > t r u e < / L a y e d O u t > < / a : V a l u e > < / a : K e y V a l u e O f D i a g r a m O b j e c t K e y a n y T y p e z b w N T n L X > < a : K e y V a l u e O f D i a g r a m O b j e c t K e y a n y T y p e z b w N T n L X > < a : K e y > < K e y > C o l u m n s \ R e n t a   m e n u s u a l   p r o m o c i o n a l   p o r   l a   c o n t r a t a c i � n   S t a r   +     ( s i n   i m p u e s t o s ) < / K e y > < / a : K e y > < a : V a l u e   i : t y p e = " M e a s u r e G r i d N o d e V i e w S t a t e " > < C o l u m n > 5 1 < / C o l u m n > < L a y e d O u t > t r u e < / L a y e d O u t > < / a : V a l u e > < / a : K e y V a l u e O f D i a g r a m O b j e c t K e y a n y T y p e z b w N T n L X > < a : K e y V a l u e O f D i a g r a m O b j e c t K e y a n y T y p e z b w N T n L X > < a : K e y > < K e y > C o l u m n s \ T � r m i n o s   y   c o n d i c i o n e s 1 7 < / K e y > < / a : K e y > < a : V a l u e   i : t y p e = " M e a s u r e G r i d N o d e V i e w S t a t e " > < C o l u m n > 5 2 < / C o l u m n > < L a y e d O u t > t r u e < / L a y e d O u t > < / a : V a l u e > < / a : K e y V a l u e O f D i a g r a m O b j e c t K e y a n y T y p e z b w N T n L X > < a : K e y V a l u e O f D i a g r a m O b j e c t K e y a n y T y p e z b w N T n L X > < a : K e y > < K e y > C o l u m n s \ T a r i f a   C o m b o   +   ( s i n   i m p u e s t o s ) < / K e y > < / a : K e y > < a : V a l u e   i : t y p e = " M e a s u r e G r i d N o d e V i e w S t a t e " > < C o l u m n > 5 3 < / C o l u m n > < L a y e d O u t > t r u e < / L a y e d O u t > < / a : V a l u e > < / a : K e y V a l u e O f D i a g r a m O b j e c t K e y a n y T y p e z b w N T n L X > < a : K e y V a l u e O f D i a g r a m O b j e c t K e y a n y T y p e z b w N T n L X > < a : K e y > < K e y > C o l u m n s \ R e n t a   m e n u s u a l   p r o m o c i o n a l   p o r   l a   c o n t r a t a c i � n   C o m b o   ( s i n   i m p u e s t o s ) < / K e y > < / a : K e y > < a : V a l u e   i : t y p e = " M e a s u r e G r i d N o d e V i e w S t a t e " > < C o l u m n > 5 4 < / C o l u m n > < L a y e d O u t > t r u e < / L a y e d O u t > < / a : V a l u e > < / a : K e y V a l u e O f D i a g r a m O b j e c t K e y a n y T y p e z b w N T n L X > < a : K e y V a l u e O f D i a g r a m O b j e c t K e y a n y T y p e z b w N T n L X > < a : K e y > < K e y > C o l u m n s \ T � r m i n o s   y   c o n d i c i o n e s 1 8 < / K e y > < / a : K e y > < a : V a l u e   i : t y p e = " M e a s u r e G r i d N o d e V i e w S t a t e " > < C o l u m n > 5 5 < / C o l u m n > < L a y e d O u t > t r u e < / L a y e d O u t > < / a : V a l u e > < / a : K e y V a l u e O f D i a g r a m O b j e c t K e y a n y T y p e z b w N T n L X > < a : K e y V a l u e O f D i a g r a m O b j e c t K e y a n y T y p e z b w N T n L X > < a : K e y > < K e y > C o l u m n s \ T a r i f a   F o x   S p o r t   P r e m i u m     ( s i n   i m p u e s t o s ) < / K e y > < / a : K e y > < a : V a l u e   i : t y p e = " M e a s u r e G r i d N o d e V i e w S t a t e " > < C o l u m n > 5 6 < / C o l u m n > < L a y e d O u t > t r u e < / L a y e d O u t > < / a : V a l u e > < / a : K e y V a l u e O f D i a g r a m O b j e c t K e y a n y T y p e z b w N T n L X > < a : K e y V a l u e O f D i a g r a m O b j e c t K e y a n y T y p e z b w N T n L X > < a : K e y > < K e y > C o l u m n s \ R e n t a   m e n u s u a l   p r o m o c i o n a l   p o r   l a   c o n t r a t a c i � n   F o x   S p o r t   P r e m i u m   ( s i n   i m p u e s t o s ) < / K e y > < / a : K e y > < a : V a l u e   i : t y p e = " M e a s u r e G r i d N o d e V i e w S t a t e " > < C o l u m n > 5 7 < / C o l u m n > < L a y e d O u t > t r u e < / L a y e d O u t > < / a : V a l u e > < / a : K e y V a l u e O f D i a g r a m O b j e c t K e y a n y T y p e z b w N T n L X > < a : K e y V a l u e O f D i a g r a m O b j e c t K e y a n y T y p e z b w N T n L X > < a : K e y > < K e y > C o l u m n s \ T � r m i n o s   y   c o n d i c i o n e s 1 9 < / K e y > < / a : K e y > < a : V a l u e   i : t y p e = " M e a s u r e G r i d N o d e V i e w S t a t e " > < C o l u m n > 5 8 < / C o l u m n > < L a y e d O u t > t r u e < / L a y e d O u t > < / a : V a l u e > < / a : K e y V a l u e O f D i a g r a m O b j e c t K e y a n y T y p e z b w N T n L X > < a : K e y V a l u e O f D i a g r a m O b j e c t K e y a n y T y p e z b w N T n L X > < a : K e y > < K e y > L i n k s \ & l t ; C o l u m n s \ R e c u e n t o   d e   N o m b r e   d e   P l a n / P a q u e t e & g t ; - & l t ; M e a s u r e s \ N o m b r e   d e   P l a n / P a q u e t e & g t ; < / K e y > < / a : K e y > < a : V a l u e   i : t y p e = " M e a s u r e G r i d V i e w S t a t e I D i a g r a m L i n k " / > < / a : K e y V a l u e O f D i a g r a m O b j e c t K e y a n y T y p e z b w N T n L X > < a : K e y V a l u e O f D i a g r a m O b j e c t K e y a n y T y p e z b w N T n L X > < a : K e y > < K e y > L i n k s \ & l t ; C o l u m n s \ R e c u e n t o   d e   N o m b r e   d e   P l a n / P a q u e t e & g t ; - & l t ; M e a s u r e s \ N o m b r e   d e   P l a n / P a q u e t e & g t ; \ C O L U M N < / K e y > < / a : K e y > < a : V a l u e   i : t y p e = " M e a s u r e G r i d V i e w S t a t e I D i a g r a m L i n k E n d p o i n t " / > < / a : K e y V a l u e O f D i a g r a m O b j e c t K e y a n y T y p e z b w N T n L X > < a : K e y V a l u e O f D i a g r a m O b j e c t K e y a n y T y p e z b w N T n L X > < a : K e y > < K e y > L i n k s \ & l t ; C o l u m n s \ R e c u e n t o   d e   N o m b r e   d e   P l a n / P a q u e t e & g t ; - & l t ; M e a s u r e s \ N o m b r e   d e   P l a n / P a q u e t e & g t ; \ M E A S U R E < / K e y > < / a : K e y > < a : V a l u e   i : t y p e = " M e a s u r e G r i d V i e w S t a t e I D i a g r a m L i n k E n d p o i n t " / > < / a : K e y V a l u e O f D i a g r a m O b j e c t K e y a n y T y p e z b w N T n L X > < a : K e y V a l u e O f D i a g r a m O b j e c t K e y a n y T y p e z b w N T n L X > < a : K e y > < K e y > L i n k s \ & l t ; C o l u m n s \ S u m a   d e   R e n t a   m e n s u a l   ( s i n   i m p u e s t o s ) & g t ; - & l t ; M e a s u r e s \ R e n t a   m e n s u a l   ( s i n   i m p u e s t o s ) & g t ; < / K e y > < / a : K e y > < a : V a l u e   i : t y p e = " M e a s u r e G r i d V i e w S t a t e I D i a g r a m L i n k " / > < / a : K e y V a l u e O f D i a g r a m O b j e c t K e y a n y T y p e z b w N T n L X > < a : K e y V a l u e O f D i a g r a m O b j e c t K e y a n y T y p e z b w N T n L X > < a : K e y > < K e y > L i n k s \ & l t ; C o l u m n s \ S u m a   d e   R e n t a   m e n s u a l   ( s i n   i m p u e s t o s ) & g t ; - & l t ; M e a s u r e s \ R e n t a   m e n s u a l   ( s i n   i m p u e s t o s ) & g t ; \ C O L U M N < / K e y > < / a : K e y > < a : V a l u e   i : t y p e = " M e a s u r e G r i d V i e w S t a t e I D i a g r a m L i n k E n d p o i n t " / > < / a : K e y V a l u e O f D i a g r a m O b j e c t K e y a n y T y p e z b w N T n L X > < a : K e y V a l u e O f D i a g r a m O b j e c t K e y a n y T y p e z b w N T n L X > < a : K e y > < K e y > L i n k s \ & l t ; C o l u m n s \ S u m a   d e   R e n t a   m e n s u a l   ( s i n   i m p u e s t o s ) & g t ; - & l t ; M e a s u r e s \ R e n t a   m e n s u a l   ( s i n   i m p u e s t o s ) & g t ; \ M E A S U R E < / K e y > < / a : K e y > < a : V a l u e   i : t y p e = " M e a s u r e G r i d V i e w S t a t e I D i a g r a m L i n k E n d p o i n t " / > < / a : K e y V a l u e O f D i a g r a m O b j e c t K e y a n y T y p e z b w N T n L X > < / V i e w S t a t e s > < / D i a g r a m M a n a g e r . S e r i a l i z a b l e D i a g r a m > < D i a g r a m M a n a g e r . S e r i a l i z a b l e D i a g r a m > < A d a p t e r   i : t y p e = " M e a s u r e D i a g r a m S a n d b o x A d a p t e r " > < T a b l e N a m e > S u s c r i p t o r e s c < / 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 S u s c r i p t o r e s c < / 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 C o l u m n s \ N o m b r e   d e   P l a n / P a q u e t e < / K e y > < / D i a g r a m O b j e c t K e y > < D i a g r a m O b j e c t K e y > < K e y > C o l u m n s \ T i p o * < / K e y > < / D i a g r a m O b j e c t K e y > < D i a g r a m O b j e c t K e y > < K e y > C o l u m n s \ T i p o   d e   p a q u e t e   c o n s i d e r a n d o   S T A R   ( s e r v i c i o s   i n c l u i d o s ) * < / K e y > < / D i a g r a m O b j e c t K e y > < D i a g r a m O b j e c t K e y > < K e y > C o l u m n s \ E s t a d o < / K e y > < / D i a g r a m O b j e c t K e y > < D i a g r a m O b j e c t K e y > < K e y > C o l u m n s \ M u n i c i p i o < / K e y > < / D i a g r a m O b j e c t K e y > < D i a g r a m O b j e c t K e y > < K e y > C o l u m n s \ L o c a l i d a d < / K e y > < / D i a g r a m O b j e c t K e y > < D i a g r a m O b j e c t K e y > < K e y > C o l u m n s \ F i b r a   � p t i c a     2 0 2 3 < / K e y > < / D i a g r a m O b j e c t K e y > < D i a g r a m O b j e c t K e y > < K e y > C o l u m n s \ C a b l e   C o a x i a l   2 0 2 3 < / K e y > < / D i a g r a m O b j e c t K e y > < D i a g r a m O b j e c t K e y > < K e y > C o l u m n s \ S a t e l i t a l e s     ( D i r e c t   T o   H o m e   o   D T H ) < / K e y > < / D i a g r a m O b j e c t K e y > < D i a g r a m O b j e c t K e y > < K e y > C o l u m n s \ O t r a s   t e c n o l o g � a s   [ S e � a l e   e l   t i p o   d e   c o n f i g u r a c i � n   d e   r e d ] < / K e y > < / D i a g r a m O b j e c t K e y > < D i a g r a m O b j e c t K e y > < K e y > C o l u m n s \ F i b r a   � p t i c a   2 0 2 4 < / K e y > < / D i a g r a m O b j e c t K e y > < D i a g r a m O b j e c t K e y > < K e y > C o l u m n s \ C a b l e   C o a x i a l   2 0 2 4 < / 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 C o l u m n s \ N o m b r e   d e   P l a n / P a q u e t e < / K e y > < / a : K e y > < a : V a l u e   i : t y p e = " M e a s u r e G r i d N o d e V i e w S t a t e " > < L a y e d O u t > t r u e < / L a y e d O u t > < / a : V a l u e > < / a : K e y V a l u e O f D i a g r a m O b j e c t K e y a n y T y p e z b w N T n L X > < a : K e y V a l u e O f D i a g r a m O b j e c t K e y a n y T y p e z b w N T n L X > < a : K e y > < K e y > C o l u m n s \ T i p o * < / K e y > < / a : K e y > < a : V a l u e   i : t y p e = " M e a s u r e G r i d N o d e V i e w S t a t e " > < C o l u m n > 1 < / C o l u m n > < L a y e d O u t > t r u e < / L a y e d O u t > < / a : V a l u e > < / a : K e y V a l u e O f D i a g r a m O b j e c t K e y a n y T y p e z b w N T n L X > < a : K e y V a l u e O f D i a g r a m O b j e c t K e y a n y T y p e z b w N T n L X > < a : K e y > < K e y > C o l u m n s \ T i p o   d e   p a q u e t e   c o n s i d e r a n d o   S T A R   ( s e r v i c i o s   i n c l u i d o s ) * < / K e y > < / a : K e y > < a : V a l u e   i : t y p e = " M e a s u r e G r i d N o d e V i e w S t a t e " > < C o l u m n > 2 < / C o l u m n > < L a y e d O u t > t r u e < / L a y e d O u t > < / a : V a l u e > < / a : K e y V a l u e O f D i a g r a m O b j e c t K e y a n y T y p e z b w N T n L X > < a : K e y V a l u e O f D i a g r a m O b j e c t K e y a n y T y p e z b w N T n L X > < a : K e y > < K e y > C o l u m n s \ E s t a d o < / K e y > < / a : K e y > < a : V a l u e   i : t y p e = " M e a s u r e G r i d N o d e V i e w S t a t e " > < C o l u m n > 3 < / C o l u m n > < L a y e d O u t > t r u e < / L a y e d O u t > < / a : V a l u e > < / a : K e y V a l u e O f D i a g r a m O b j e c t K e y a n y T y p e z b w N T n L X > < a : K e y V a l u e O f D i a g r a m O b j e c t K e y a n y T y p e z b w N T n L X > < a : K e y > < K e y > C o l u m n s \ M u n i c i p i o < / K e y > < / a : K e y > < a : V a l u e   i : t y p e = " M e a s u r e G r i d N o d e V i e w S t a t e " > < C o l u m n > 4 < / C o l u m n > < L a y e d O u t > t r u e < / L a y e d O u t > < / a : V a l u e > < / a : K e y V a l u e O f D i a g r a m O b j e c t K e y a n y T y p e z b w N T n L X > < a : K e y V a l u e O f D i a g r a m O b j e c t K e y a n y T y p e z b w N T n L X > < a : K e y > < K e y > C o l u m n s \ L o c a l i d a d < / K e y > < / a : K e y > < a : V a l u e   i : t y p e = " M e a s u r e G r i d N o d e V i e w S t a t e " > < C o l u m n > 5 < / C o l u m n > < L a y e d O u t > t r u e < / L a y e d O u t > < / a : V a l u e > < / a : K e y V a l u e O f D i a g r a m O b j e c t K e y a n y T y p e z b w N T n L X > < a : K e y V a l u e O f D i a g r a m O b j e c t K e y a n y T y p e z b w N T n L X > < a : K e y > < K e y > C o l u m n s \ F i b r a   � p t i c a     2 0 2 3 < / K e y > < / a : K e y > < a : V a l u e   i : t y p e = " M e a s u r e G r i d N o d e V i e w S t a t e " > < C o l u m n > 6 < / C o l u m n > < L a y e d O u t > t r u e < / L a y e d O u t > < / a : V a l u e > < / a : K e y V a l u e O f D i a g r a m O b j e c t K e y a n y T y p e z b w N T n L X > < a : K e y V a l u e O f D i a g r a m O b j e c t K e y a n y T y p e z b w N T n L X > < a : K e y > < K e y > C o l u m n s \ C a b l e   C o a x i a l   2 0 2 3 < / K e y > < / a : K e y > < a : V a l u e   i : t y p e = " M e a s u r e G r i d N o d e V i e w S t a t e " > < C o l u m n > 7 < / C o l u m n > < L a y e d O u t > t r u e < / L a y e d O u t > < / a : V a l u e > < / a : K e y V a l u e O f D i a g r a m O b j e c t K e y a n y T y p e z b w N T n L X > < a : K e y V a l u e O f D i a g r a m O b j e c t K e y a n y T y p e z b w N T n L X > < a : K e y > < K e y > C o l u m n s \ S a t e l i t a l e s     ( D i r e c t   T o   H o m e   o   D T H ) < / K e y > < / a : K e y > < a : V a l u e   i : t y p e = " M e a s u r e G r i d N o d e V i e w S t a t e " > < C o l u m n > 8 < / C o l u m n > < L a y e d O u t > t r u e < / L a y e d O u t > < / a : V a l u e > < / a : K e y V a l u e O f D i a g r a m O b j e c t K e y a n y T y p e z b w N T n L X > < a : K e y V a l u e O f D i a g r a m O b j e c t K e y a n y T y p e z b w N T n L X > < a : K e y > < K e y > C o l u m n s \ O t r a s   t e c n o l o g � a s   [ S e � a l e   e l   t i p o   d e   c o n f i g u r a c i � n   d e   r e d ] < / K e y > < / a : K e y > < a : V a l u e   i : t y p e = " M e a s u r e G r i d N o d e V i e w S t a t e " > < C o l u m n > 9 < / C o l u m n > < L a y e d O u t > t r u e < / L a y e d O u t > < / a : V a l u e > < / a : K e y V a l u e O f D i a g r a m O b j e c t K e y a n y T y p e z b w N T n L X > < a : K e y V a l u e O f D i a g r a m O b j e c t K e y a n y T y p e z b w N T n L X > < a : K e y > < K e y > C o l u m n s \ F i b r a   � p t i c a   2 0 2 4 < / K e y > < / a : K e y > < a : V a l u e   i : t y p e = " M e a s u r e G r i d N o d e V i e w S t a t e " > < C o l u m n > 1 0 < / C o l u m n > < L a y e d O u t > t r u e < / L a y e d O u t > < / a : V a l u e > < / a : K e y V a l u e O f D i a g r a m O b j e c t K e y a n y T y p e z b w N T n L X > < a : K e y V a l u e O f D i a g r a m O b j e c t K e y a n y T y p e z b w N T n L X > < a : K e y > < K e y > C o l u m n s \ C a b l e   C o a x i a l   2 0 2 4 < / K e y > < / a : K e y > < a : V a l u e   i : t y p e = " M e a s u r e G r i d N o d e V i e w S t a t e " > < C o l u m n > 1 1 < / C o l u m n > < L a y e d O u t > t r u e < / L a y e d O u t > < / a : V a l u e > < / a : K e y V a l u e O f D i a g r a m O b j e c t K e y a n y T y p e z b w N T n L X > < / V i e w S t a t e s > < / D i a g r a m M a n a g e r . S e r i a l i z a b l e D i a g r a m > < / A r r a y O f D i a g r a m M a n a g e r . S e r i a l i z a b l e D i a g r a m > ] ] > < / C u s t o m C o n t e n t > < / G e m i n i > 
</file>

<file path=customXml/item11.xml>��< ? x m l   v e r s i o n = " 1 . 0 "   e n c o d i n g = " U T F - 1 6 " ? > < G e m i n i   x m l n s = " h t t p : / / g e m i n i / p i v o t c u s t o m i z a t i o n / T a b l e X M L _ S u s c r i p t o r e s c " > < C u s t o m C o n t e n t > < ! [ C D A T A [ < T a b l e W i d g e t G r i d S e r i a l i z a t i o n   x m l n s : x s d = " h t t p : / / w w w . w 3 . o r g / 2 0 0 1 / X M L S c h e m a "   x m l n s : x s i = " h t t p : / / w w w . w 3 . o r g / 2 0 0 1 / X M L S c h e m a - i n s t a n c e " > < C o l u m n S u g g e s t e d T y p e   / > < C o l u m n F o r m a t   / > < C o l u m n A c c u r a c y   / > < C o l u m n C u r r e n c y S y m b o l   / > < C o l u m n P o s i t i v e P a t t e r n   / > < C o l u m n N e g a t i v e P a t t e r n   / > < C o l u m n W i d t h s > < i t e m > < k e y > < s t r i n g > N o m b r e   d e   P l a n / P a q u e t e < / s t r i n g > < / k e y > < v a l u e > < i n t > 1 9 4 < / i n t > < / v a l u e > < / i t e m > < i t e m > < k e y > < s t r i n g > T i p o * < / s t r i n g > < / k e y > < v a l u e > < i n t > 7 0 < / i n t > < / v a l u e > < / i t e m > < i t e m > < k e y > < s t r i n g > T i p o   d e   p a q u e t e   c o n s i d e r a n d o   S T A R   ( s e r v i c i o s   i n c l u i d o s ) * < / s t r i n g > < / k e y > < v a l u e > < i n t > 3 9 0 < / i n t > < / v a l u e > < / i t e m > < i t e m > < k e y > < s t r i n g > E s t a d o < / s t r i n g > < / k e y > < v a l u e > < i n t > 7 7 < / i n t > < / v a l u e > < / i t e m > < i t e m > < k e y > < s t r i n g > M u n i c i p i o < / s t r i n g > < / k e y > < v a l u e > < i n t > 9 8 < / i n t > < / v a l u e > < / i t e m > < i t e m > < k e y > < s t r i n g > L o c a l i d a d < / s t r i n g > < / k e y > < v a l u e > < i n t > 9 4 < / i n t > < / v a l u e > < / i t e m > < i t e m > < k e y > < s t r i n g > F i b r a   � p t i c a     2 0 2 3 < / s t r i n g > < / k e y > < v a l u e > < i n t > 1 4 1 < / i n t > < / v a l u e > < / i t e m > < i t e m > < k e y > < s t r i n g > C a b l e   C o a x i a l   2 0 2 3 < / s t r i n g > < / k e y > < v a l u e > < i n t > 1 5 0 < / i n t > < / v a l u e > < / i t e m > < i t e m > < k e y > < s t r i n g > S a t e l i t a l e s     ( D i r e c t   T o   H o m e   o   D T H ) < / s t r i n g > < / k e y > < v a l u e > < i n t > 2 5 0 < / i n t > < / v a l u e > < / i t e m > < i t e m > < k e y > < s t r i n g > O t r a s   t e c n o l o g � a s   [ S e � a l e   e l   t i p o   d e   c o n f i g u r a c i � n   d e   r e d ] < / s t r i n g > < / k e y > < v a l u e > < i n t > 3 8 7 < / i n t > < / v a l u e > < / i t e m > < i t e m > < k e y > < s t r i n g > F i b r a   � p t i c a   2 0 2 4 < / s t r i n g > < / k e y > < v a l u e > < i n t > 1 3 8 < / i n t > < / v a l u e > < / i t e m > < i t e m > < k e y > < s t r i n g > C a b l e   C o a x i a l   2 0 2 4 < / s t r i n g > < / k e y > < v a l u e > < i n t > 1 5 0 < / i n t > < / v a l u e > < / i t e m > < / C o l u m n W i d t h s > < C o l u m n D i s p l a y I n d e x > < i t e m > < k e y > < s t r i n g > N o m b r e   d e   P l a n / P a q u e t e < / s t r i n g > < / k e y > < v a l u e > < i n t > 0 < / i n t > < / v a l u e > < / i t e m > < i t e m > < k e y > < s t r i n g > T i p o * < / s t r i n g > < / k e y > < v a l u e > < i n t > 1 < / i n t > < / v a l u e > < / i t e m > < i t e m > < k e y > < s t r i n g > T i p o   d e   p a q u e t e   c o n s i d e r a n d o   S T A R   ( s e r v i c i o s   i n c l u i d o s ) * < / s t r i n g > < / k e y > < v a l u e > < i n t > 2 < / i n t > < / v a l u e > < / i t e m > < i t e m > < k e y > < s t r i n g > E s t a d o < / s t r i n g > < / k e y > < v a l u e > < i n t > 3 < / i n t > < / v a l u e > < / i t e m > < i t e m > < k e y > < s t r i n g > M u n i c i p i o < / s t r i n g > < / k e y > < v a l u e > < i n t > 4 < / i n t > < / v a l u e > < / i t e m > < i t e m > < k e y > < s t r i n g > L o c a l i d a d < / s t r i n g > < / k e y > < v a l u e > < i n t > 5 < / i n t > < / v a l u e > < / i t e m > < i t e m > < k e y > < s t r i n g > F i b r a   � p t i c a     2 0 2 3 < / s t r i n g > < / k e y > < v a l u e > < i n t > 6 < / i n t > < / v a l u e > < / i t e m > < i t e m > < k e y > < s t r i n g > C a b l e   C o a x i a l   2 0 2 3 < / s t r i n g > < / k e y > < v a l u e > < i n t > 7 < / i n t > < / v a l u e > < / i t e m > < i t e m > < k e y > < s t r i n g > S a t e l i t a l e s     ( D i r e c t   T o   H o m e   o   D T H ) < / s t r i n g > < / k e y > < v a l u e > < i n t > 8 < / i n t > < / v a l u e > < / i t e m > < i t e m > < k e y > < s t r i n g > O t r a s   t e c n o l o g � a s   [ S e � a l e   e l   t i p o   d e   c o n f i g u r a c i � n   d e   r e d ] < / s t r i n g > < / k e y > < v a l u e > < i n t > 9 < / i n t > < / v a l u e > < / i t e m > < i t e m > < k e y > < s t r i n g > F i b r a   � p t i c a   2 0 2 4 < / s t r i n g > < / k e y > < v a l u e > < i n t > 1 0 < / i n t > < / v a l u e > < / i t e m > < i t e m > < k e y > < s t r i n g > C a b l e   C o a x i a l   2 0 2 4 < / s t r i n g > < / k e y > < v a l u e > < i n t > 1 1 < / 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C l i e n t W i n d o w X M L " > < C u s t o m C o n t e n t > < ! [ C D A T A [ S u s c r i p t o r e s c ] ] > < / C u s t o m C o n t e n t > < / G e m i n i > 
</file>

<file path=customXml/item13.xml>��< ? x m l   v e r s i o n = " 1 . 0 "   e n c o d i n g = " U T F - 1 6 " ? > < G e m i n i   x m l n s = " h t t p : / / g e m i n i / p i v o t c u s t o m i z a t i o n / M a n u a l C a l c M o d e " > < C u s t o m C o n t e n t > < ! [ C D A T A [ F a l s e ] ] > < / 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1 b 0 1 6 a 0 1 - 0 c c 7 - 4 f c d - a 2 b 2 - 1 e 5 c a 7 c 3 f 3 5 2 " > < C u s t o m C o n t e n t > < ! [ C D A T A [ < ? x m l   v e r s i o n = " 1 . 0 "   e n c o d i n g = " u t f - 1 6 " ? > < S e t t i n g s > < C a l c u l a t e d F i e l d s > < i t e m > < M e a s u r e N a m e > M e d i a n a   R M   2 0 2 4 < / M e a s u r e N a m e > < D i s p l a y N a m e > M e d i a n a   R M   2 0 2 4 < / D i s p l a y N a m e > < V i s i b l e > F a l s e < / V i s i b l e > < / i t e m > < i t e m > < M e a s u r e N a m e > M e d i a n a   R M   2 0 2 3 < / M e a s u r e N a m e > < D i s p l a y N a m e > M e d i a n a   R M   2 0 2 3 < / D i s p l a y N a m e > < V i s i b l e > F a l s e < / V i s i b l e > < / i t e m > < / C a l c u l a t e d F i e l d s > < S A H o s t H a s h > 0 < / S A H o s t H a s h > < G e m i n i F i e l d L i s t V i s i b l e > T r u e < / G e m i n i F i e l d L i s t V i s i b l e > < / S e t t i n g s > ] ] > < / C u s t o m C o n t e n t > < / G e m i n i > 
</file>

<file path=customXml/item16.xml>��< ? x m l   v e r s i o n = " 1 . 0 "   e n c o d i n g = " U T F - 1 6 " ? > < G e m i n i   x m l n s = " h t t p : / / g e m i n i / p i v o t c u s t o m i z a t i o n / T a b l e X M L _ S u s c r i p t o r e s a " > < C u s t o m C o n t e n t > < ! [ C D A T A [ < T a b l e W i d g e t G r i d S e r i a l i z a t i o n   x m l n s : x s d = " h t t p : / / w w w . w 3 . o r g / 2 0 0 1 / X M L S c h e m a "   x m l n s : x s i = " h t t p : / / w w w . w 3 . o r g / 2 0 0 1 / X M L S c h e m a - i n s t a n c e " > < C o l u m n S u g g e s t e d T y p e   / > < C o l u m n F o r m a t   / > < C o l u m n A c c u r a c y   / > < C o l u m n C u r r e n c y S y m b o l   / > < C o l u m n P o s i t i v e P a t t e r n   / > < C o l u m n N e g a t i v e P a t t e r n   / > < C o l u m n W i d t h s > < i t e m > < k e y > < s t r i n g > N o m b r e   d e   P l a n / P a q u e t e < / s t r i n g > < / k e y > < v a l u e > < i n t > 1 9 4 < / i n t > < / v a l u e > < / i t e m > < i t e m > < k e y > < s t r i n g > T i p o * < / s t r i n g > < / k e y > < v a l u e > < i n t > 7 0 < / i n t > < / v a l u e > < / i t e m > < i t e m > < k e y > < s t r i n g > T i p o   d e   p a q u e t e   c o n s i d e r a n d o   S T A R   ( s e r v i c i o s   i n c l u i d o s ) * < / s t r i n g > < / k e y > < v a l u e > < i n t > 3 9 0 < / i n t > < / v a l u e > < / i t e m > < i t e m > < k e y > < s t r i n g > E s t a d o < / s t r i n g > < / k e y > < v a l u e > < i n t > 7 7 < / i n t > < / v a l u e > < / i t e m > < i t e m > < k e y > < s t r i n g > M u n i c i p i o < / s t r i n g > < / k e y > < v a l u e > < i n t > 9 8 < / i n t > < / v a l u e > < / i t e m > < i t e m > < k e y > < s t r i n g > L o c a l i d a d < / s t r i n g > < / k e y > < v a l u e > < i n t > 9 4 < / i n t > < / v a l u e > < / i t e m > < i t e m > < k e y > < s t r i n g > d i c i e m b r e   2 0 2 3 < / s t r i n g > < / k e y > < v a l u e > < i n t > 1 3 0 < / i n t > < / v a l u e > < / i t e m > < i t e m > < k e y > < s t r i n g > N o m b r e   d e   P l a n / P a q u e t e 2 < / s t r i n g > < / k e y > < v a l u e > < i n t > 2 0 1 < / i n t > < / v a l u e > < / i t e m > < i t e m > < k e y > < s t r i n g > T i p o * 3 < / s t r i n g > < / k e y > < v a l u e > < i n t > 7 7 < / i n t > < / v a l u e > < / i t e m > < i t e m > < k e y > < s t r i n g > T i p o   d e   p a q u e t e   c o n s i d e r a n d o   S T A R   ( s e r v i c i o s   i n c l u i d o s ) * 4 < / s t r i n g > < / k e y > < v a l u e > < i n t > 3 9 7 < / i n t > < / v a l u e > < / i t e m > < i t e m > < k e y > < s t r i n g > E s t a d o 5 < / s t r i n g > < / k e y > < v a l u e > < i n t > 8 4 < / i n t > < / v a l u e > < / i t e m > < i t e m > < k e y > < s t r i n g > M u n i c i p i o 6 < / s t r i n g > < / k e y > < v a l u e > < i n t > 1 0 5 < / i n t > < / v a l u e > < / i t e m > < i t e m > < k e y > < s t r i n g > L o c a l i d a d 7 < / s t r i n g > < / k e y > < v a l u e > < i n t > 1 0 1 < / i n t > < / v a l u e > < / i t e m > < i t e m > < k e y > < s t r i n g > m a y o   2 0 2 4 < / s t r i n g > < / k e y > < v a l u e > < i n t > 1 0 1 < / i n t > < / v a l u e > < / i t e m > < / C o l u m n W i d t h s > < C o l u m n D i s p l a y I n d e x > < i t e m > < k e y > < s t r i n g > N o m b r e   d e   P l a n / P a q u e t e < / s t r i n g > < / k e y > < v a l u e > < i n t > 0 < / i n t > < / v a l u e > < / i t e m > < i t e m > < k e y > < s t r i n g > T i p o * < / s t r i n g > < / k e y > < v a l u e > < i n t > 1 < / i n t > < / v a l u e > < / i t e m > < i t e m > < k e y > < s t r i n g > T i p o   d e   p a q u e t e   c o n s i d e r a n d o   S T A R   ( s e r v i c i o s   i n c l u i d o s ) * < / s t r i n g > < / k e y > < v a l u e > < i n t > 2 < / i n t > < / v a l u e > < / i t e m > < i t e m > < k e y > < s t r i n g > E s t a d o < / s t r i n g > < / k e y > < v a l u e > < i n t > 3 < / i n t > < / v a l u e > < / i t e m > < i t e m > < k e y > < s t r i n g > M u n i c i p i o < / s t r i n g > < / k e y > < v a l u e > < i n t > 4 < / i n t > < / v a l u e > < / i t e m > < i t e m > < k e y > < s t r i n g > L o c a l i d a d < / s t r i n g > < / k e y > < v a l u e > < i n t > 5 < / i n t > < / v a l u e > < / i t e m > < i t e m > < k e y > < s t r i n g > d i c i e m b r e   2 0 2 3 < / s t r i n g > < / k e y > < v a l u e > < i n t > 6 < / i n t > < / v a l u e > < / i t e m > < i t e m > < k e y > < s t r i n g > N o m b r e   d e   P l a n / P a q u e t e 2 < / s t r i n g > < / k e y > < v a l u e > < i n t > 7 < / i n t > < / v a l u e > < / i t e m > < i t e m > < k e y > < s t r i n g > T i p o * 3 < / s t r i n g > < / k e y > < v a l u e > < i n t > 8 < / i n t > < / v a l u e > < / i t e m > < i t e m > < k e y > < s t r i n g > T i p o   d e   p a q u e t e   c o n s i d e r a n d o   S T A R   ( s e r v i c i o s   i n c l u i d o s ) * 4 < / s t r i n g > < / k e y > < v a l u e > < i n t > 9 < / i n t > < / v a l u e > < / i t e m > < i t e m > < k e y > < s t r i n g > E s t a d o 5 < / s t r i n g > < / k e y > < v a l u e > < i n t > 1 0 < / i n t > < / v a l u e > < / i t e m > < i t e m > < k e y > < s t r i n g > M u n i c i p i o 6 < / s t r i n g > < / k e y > < v a l u e > < i n t > 1 1 < / i n t > < / v a l u e > < / i t e m > < i t e m > < k e y > < s t r i n g > L o c a l i d a d 7 < / s t r i n g > < / k e y > < v a l u e > < i n t > 1 2 < / i n t > < / v a l u e > < / i t e m > < i t e m > < k e y > < s t r i n g > m a y o   2 0 2 4 < / s t r i n g > < / k e y > < v a l u e > < i n t > 1 3 < / 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0 6 a b c a 9 8 - b b 2 9 - 4 d a 1 - b b 4 d - d b 0 b 6 3 4 a e c 6 3 " > < C u s t o m C o n t e n t > < ! [ C D A T A [ < ? x m l   v e r s i o n = " 1 . 0 "   e n c o d i n g = " u t f - 1 6 " ? > < S e t t i n g s > < C a l c u l a t e d F i e l d s > < i t e m > < M e a s u r e N a m e > M e d i a n a   R M   2 0 2 4 < / M e a s u r e N a m e > < D i s p l a y N a m e > M e d i a n a   R M   2 0 2 4 < / D i s p l a y N a m e > < V i s i b l e > F a l s e < / V i s i b l e > < / i t e m > < i t e m > < M e a s u r e N a m e > M e d i a n a   R M   2 0 2 3 < / M e a s u r e N a m e > < D i s p l a y N a m e > M e d i a n a   R M   2 0 2 3 < / D i s p l a y N a m e > < V i s i b l e > F a l s e < / V i s i b l e > < / i t e m > < / C a l c u l a t e d F i e l d s > < S A H o s t H a s h > 0 < / S A H o s t H a s h > < G e m i n i F i e l d L i s t V i s i b l e > T r u e < / G e m i n i F i e l d L i s t V i s i b l e > < / S e t t i n g s > ] ] > < / C u s t o m C o n t e n t > < / G e m i n i > 
</file>

<file path=customXml/item18.xml>��< ? x m l   v e r s i o n = " 1 . 0 "   e n c o d i n g = " U T F - 1 6 " ? > < G e m i n i   x m l n s = " h t t p : / / g e m i n i / p i v o t c u s t o m i z a t i o n / c f 0 9 b 7 f a - 0 4 0 8 - 4 c 4 6 - a f 7 5 - a 1 f 1 3 2 7 5 f 8 c 2 " > < C u s t o m C o n t e n t > < ! [ C D A T A [ < ? x m l   v e r s i o n = " 1 . 0 "   e n c o d i n g = " u t f - 1 6 " ? > < S e t t i n g s > < C a l c u l a t e d F i e l d s > < i t e m > < M e a s u r e N a m e > M e d i a n a   R M   2 0 2 3 < / M e a s u r e N a m e > < D i s p l a y N a m e > M e d i a n a   R M   2 0 2 3 < / D i s p l a y N a m e > < V i s i b l e > T r u e < / V i s i b l e > < / i t e m > < i t e m > < M e a s u r e N a m e > M e d i a n a   R M   2 0 2 4 < / M e a s u r e N a m e > < D i s p l a y N a m e > M e d i a n a   R M   2 0 2 4 < / D i s p l a y N a m e > < V i s i b l e > F a l s e < / V i s i b l e > < / i t e m > < / C a l c u l a t e d F i e l d s > < S A H o s t H a s h > 0 < / S A H o s t H a s h > < G e m i n i F i e l d L i s t V i s i b l e > T r u e < / G e m i n i F i e l d L i s t V i s i b l e > < / S e t t i n g s > ] ] > < / C u s t o m C o n t e n t > < / G e m i n i > 
</file>

<file path=customXml/item1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 T a r i f a s 2 0 2 3 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 T a r i f a s 2 0 2 3 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 C o l u m n s \ N o m b r e   d e   P l a n / P a q u e t e < / K e y > < / a : K e y > < a : V a l u e   i : t y p e = " T a b l e W i d g e t B a s e V i e w S t a t e " / > < / a : K e y V a l u e O f D i a g r a m O b j e c t K e y a n y T y p e z b w N T n L X > < a : K e y V a l u e O f D i a g r a m O b j e c t K e y a n y T y p e z b w N T n L X > < a : K e y > < K e y > C o l u m n s \ T i p o * < / K e y > < / a : K e y > < a : V a l u e   i : t y p e = " T a b l e W i d g e t B a s e V i e w S t a t e " / > < / a : K e y V a l u e O f D i a g r a m O b j e c t K e y a n y T y p e z b w N T n L X > < a : K e y V a l u e O f D i a g r a m O b j e c t K e y a n y T y p e z b w N T n L X > < a : K e y > < K e y > C o l u m n s \ T i p o   d e   p a q u e t e   c o n s i d e r a n d o   S T A R   ( s e r v i c i o s   i n c l u i d o s ) * < / K e y > < / a : K e y > < a : V a l u e   i : t y p e = " T a b l e W i d g e t B a s e V i e w S t a t e " / > < / a : K e y V a l u e O f D i a g r a m O b j e c t K e y a n y T y p e z b w N T n L X > < a : K e y V a l u e O f D i a g r a m O b j e c t K e y a n y T y p e z b w N T n L X > < a : K e y > < K e y > C o l u m n s \ E s q u e m a * < / K e y > < / a : K e y > < a : V a l u e   i : t y p e = " T a b l e W i d g e t B a s e V i e w S t a t e " / > < / a : K e y V a l u e O f D i a g r a m O b j e c t K e y a n y T y p e z b w N T n L X > < a : K e y V a l u e O f D i a g r a m O b j e c t K e y a n y T y p e z b w N T n L X > < a : K e y > < K e y > C o l u m n s \ P e r i o d o   d e   p a g o < / K e y > < / a : K e y > < a : V a l u e   i : t y p e = " T a b l e W i d g e t B a s e V i e w S t a t e " / > < / a : K e y V a l u e O f D i a g r a m O b j e c t K e y a n y T y p e z b w N T n L X > < a : K e y V a l u e O f D i a g r a m O b j e c t K e y a n y T y p e z b w N T n L X > < a : K e y > < K e y > C o l u m n s \ E s t a d o < / 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 C o l u m n s \ L o c a l i d a d < / K e y > < / a : K e y > < a : V a l u e   i : t y p e = " T a b l e W i d g e t B a s e V i e w S t a t e " / > < / a : K e y V a l u e O f D i a g r a m O b j e c t K e y a n y T y p e z b w N T n L X > < a : K e y V a l u e O f D i a g r a m O b j e c t K e y a n y T y p e z b w N T n L X > < a : K e y > < K e y > C o l u m n s \ F o l i o   R P C < / K e y > < / a : K e y > < a : V a l u e   i : t y p e = " T a b l e W i d g e t B a s e V i e w S t a t e " / > < / a : K e y V a l u e O f D i a g r a m O b j e c t K e y a n y T y p e z b w N T n L X > < a : K e y V a l u e O f D i a g r a m O b j e c t K e y a n y T y p e z b w N T n L X > < a : K e y > < K e y > C o l u m n s \ R e n t a   m e n s u a l   ( s i n   i m p u e s t o s ) < / K e y > < / a : K e y > < a : V a l u e   i : t y p e = " T a b l e W i d g e t B a s e V i e w S t a t e " / > < / a : K e y V a l u e O f D i a g r a m O b j e c t K e y a n y T y p e z b w N T n L X > < a : K e y V a l u e O f D i a g r a m O b j e c t K e y a n y T y p e z b w N T n L X > < a : K e y > < K e y > C o l u m n s \ R e n t a   m e n s u a l     ( c o n   i m p u e s t o s ) < / K e y > < / a : K e y > < a : V a l u e   i : t y p e = " T a b l e W i d g e t B a s e V i e w S t a t e " / > < / a : K e y V a l u e O f D i a g r a m O b j e c t K e y a n y T y p e z b w N T n L X > < a : K e y V a l u e O f D i a g r a m O b j e c t K e y a n y T y p e z b w N T n L X > < a : K e y > < K e y > C o l u m n s \ � T i e n e   p r o m o c i o n e s   a s o c i a d a s   a l   p a q u e t e   q u e   a j u s t e n   l a   t a r i f a   d e   l a   r e n t a   m e n s u a l ?   ( S i / N o ) < / K e y > < / a : K e y > < a : V a l u e   i : t y p e = " T a b l e W i d g e t B a s e V i e w S t a t e " / > < / a : K e y V a l u e O f D i a g r a m O b j e c t K e y a n y T y p e z b w N T n L X > < a : K e y V a l u e O f D i a g r a m O b j e c t K e y a n y T y p e z b w N T n L X > < a : K e y > < K e y > C o l u m n s \ P r o m o c i � n   d e   " D e s c u e n t o   d e   s u   m e n s u a l i d a d "   p o r   u n   p e r i o d o   e s p e c � f i c o < / K e y > < / a : K e y > < a : V a l u e   i : t y p e = " T a b l e W i d g e t B a s e V i e w S t a t e " / > < / a : K e y V a l u e O f D i a g r a m O b j e c t K e y a n y T y p e z b w N T n L X > < a : K e y V a l u e O f D i a g r a m O b j e c t K e y a n y T y p e z b w N T n L X > < a : K e y > < K e y > C o l u m n s \ R e n t a   m e n s u a l   c o n   t a r i f a   p r o m o c i o n a l   ( s i n   i m p u e s t o s ) < / K e y > < / a : K e y > < a : V a l u e   i : t y p e = " T a b l e W i d g e t B a s e V i e w S t a t e " / > < / a : K e y V a l u e O f D i a g r a m O b j e c t K e y a n y T y p e z b w N T n L X > < a : K e y V a l u e O f D i a g r a m O b j e c t K e y a n y T y p e z b w N T n L X > < a : K e y > < K e y > C o l u m n s \ D u r a c i � n   d e   l a   p r o m o c i � n   ( e n   m e s e s ) < / K e y > < / a : K e y > < a : V a l u e   i : t y p e = " T a b l e W i d g e t B a s e V i e w S t a t e " / > < / a : K e y V a l u e O f D i a g r a m O b j e c t K e y a n y T y p e z b w N T n L X > < a : K e y V a l u e O f D i a g r a m O b j e c t K e y a n y T y p e z b w N T n L X > < a : K e y > < K e y > C o l u m n s \ T � r m i n o s   y   c o n d i c i o n e s < / K e y > < / a : K e y > < a : V a l u e   i : t y p e = " T a b l e W i d g e t B a s e V i e w S t a t e " / > < / a : K e y V a l u e O f D i a g r a m O b j e c t K e y a n y T y p e z b w N T n L X > < a : K e y V a l u e O f D i a g r a m O b j e c t K e y a n y T y p e z b w N T n L X > < a : K e y > < K e y > C o l u m n s \ P r o m o c i � n   p o r   " D o m i c i l i a c i � n "   d e   l a   r e n t a   m e n s u a l < / K e y > < / a : K e y > < a : V a l u e   i : t y p e = " T a b l e W i d g e t B a s e V i e w S t a t e " / > < / a : K e y V a l u e O f D i a g r a m O b j e c t K e y a n y T y p e z b w N T n L X > < a : K e y V a l u e O f D i a g r a m O b j e c t K e y a n y T y p e z b w N T n L X > < a : K e y > < K e y > C o l u m n s \ R e n t a   m e n u s u a l   c o n   t a r i f a   p r o m o c i o n a l   ( s i n   i m p u e s t o s ) < / K e y > < / a : K e y > < a : V a l u e   i : t y p e = " T a b l e W i d g e t B a s e V i e w S t a t e " / > < / a : K e y V a l u e O f D i a g r a m O b j e c t K e y a n y T y p e z b w N T n L X > < a : K e y V a l u e O f D i a g r a m O b j e c t K e y a n y T y p e z b w N T n L X > < a : K e y > < K e y > C o l u m n s \ D u r a c i � n   d e   l a   p r o m o c i � n   ( e n   m e s e s ) 2 < / K e y > < / a : K e y > < a : V a l u e   i : t y p e = " T a b l e W i d g e t B a s e V i e w S t a t e " / > < / a : K e y V a l u e O f D i a g r a m O b j e c t K e y a n y T y p e z b w N T n L X > < a : K e y V a l u e O f D i a g r a m O b j e c t K e y a n y T y p e z b w N T n L X > < a : K e y > < K e y > C o l u m n s \ T � r m i n o s   y   c o n d i c i o n e s 3 < / K e y > < / a : K e y > < a : V a l u e   i : t y p e = " T a b l e W i d g e t B a s e V i e w S t a t e " / > < / a : K e y V a l u e O f D i a g r a m O b j e c t K e y a n y T y p e z b w N T n L X > < a : K e y V a l u e O f D i a g r a m O b j e c t K e y a n y T y p e z b w N T n L X > < a : K e y > < K e y > C o l u m n s \ P r o m o c i � n   p o r   " A n u a l i d a d " < / K e y > < / a : K e y > < a : V a l u e   i : t y p e = " T a b l e W i d g e t B a s e V i e w S t a t e " / > < / a : K e y V a l u e O f D i a g r a m O b j e c t K e y a n y T y p e z b w N T n L X > < a : K e y V a l u e O f D i a g r a m O b j e c t K e y a n y T y p e z b w N T n L X > < a : K e y > < K e y > C o l u m n s \ R e n t a   m e n u s u a l   c o n   t a r i f a   p r o m o c i o n a l   ( s i n   i m p u e s t o s ) 4 < / K e y > < / a : K e y > < a : V a l u e   i : t y p e = " T a b l e W i d g e t B a s e V i e w S t a t e " / > < / a : K e y V a l u e O f D i a g r a m O b j e c t K e y a n y T y p e z b w N T n L X > < a : K e y V a l u e O f D i a g r a m O b j e c t K e y a n y T y p e z b w N T n L X > < a : K e y > < K e y > C o l u m n s \ D u r a c i � n   d e   l a   p r o m o c i � n   ( e n   m e s e s ) 5 < / K e y > < / a : K e y > < a : V a l u e   i : t y p e = " T a b l e W i d g e t B a s e V i e w S t a t e " / > < / a : K e y V a l u e O f D i a g r a m O b j e c t K e y a n y T y p e z b w N T n L X > < a : K e y V a l u e O f D i a g r a m O b j e c t K e y a n y T y p e z b w N T n L X > < a : K e y > < K e y > C o l u m n s \ T � r m i n o s   y   c o n d i c i o n e s 6 < / K e y > < / a : K e y > < a : V a l u e   i : t y p e = " T a b l e W i d g e t B a s e V i e w S t a t e " / > < / a : K e y V a l u e O f D i a g r a m O b j e c t K e y a n y T y p e z b w N T n L X > < a : K e y V a l u e O f D i a g r a m O b j e c t K e y a n y T y p e z b w N T n L X > < a : K e y > < K e y > C o l u m n s \ P r o m o c i � n   p o r   " C l i e n t e   a c t u a l   d e   T V " < / K e y > < / a : K e y > < a : V a l u e   i : t y p e = " T a b l e W i d g e t B a s e V i e w S t a t e " / > < / a : K e y V a l u e O f D i a g r a m O b j e c t K e y a n y T y p e z b w N T n L X > < a : K e y V a l u e O f D i a g r a m O b j e c t K e y a n y T y p e z b w N T n L X > < a : K e y > < K e y > C o l u m n s \ R e n t a   m e n u s u a l   c o n   t a r i f a   p r o m o c i o n a l   ( s i n   i m p u e s t o s ) 7 < / K e y > < / a : K e y > < a : V a l u e   i : t y p e = " T a b l e W i d g e t B a s e V i e w S t a t e " / > < / a : K e y V a l u e O f D i a g r a m O b j e c t K e y a n y T y p e z b w N T n L X > < a : K e y V a l u e O f D i a g r a m O b j e c t K e y a n y T y p e z b w N T n L X > < a : K e y > < K e y > C o l u m n s \ D u r a c i � n   d e   l a   p r o m o c i � n   ( e n   m e s e s ) 8 < / K e y > < / a : K e y > < a : V a l u e   i : t y p e = " T a b l e W i d g e t B a s e V i e w S t a t e " / > < / a : K e y V a l u e O f D i a g r a m O b j e c t K e y a n y T y p e z b w N T n L X > < a : K e y V a l u e O f D i a g r a m O b j e c t K e y a n y T y p e z b w N T n L X > < a : K e y > < K e y > C o l u m n s \ T � r m i n o s   y   c o n d i c i o n e s 9 < / K e y > < / a : K e y > < a : V a l u e   i : t y p e = " T a b l e W i d g e t B a s e V i e w S t a t e " / > < / a : K e y V a l u e O f D i a g r a m O b j e c t K e y a n y T y p e z b w N T n L X > < a : K e y V a l u e O f D i a g r a m O b j e c t K e y a n y T y p e z b w N T n L X > < a : K e y > < K e y > C o l u m n s \ � C u e n t a   c o n   i n c e n t i v o s   p r o m o c i o n a l e s   p o r   l a   c o n t r a t a c i � n   d e   a l g � n   s e r v i c i o   O T T   q u e   a j u s t e   e l   m o n t o   d < / K e y > < / a : K e y > < a : V a l u e   i : t y p e = " T a b l e W i d g e t B a s e V i e w S t a t e " / > < / a : K e y V a l u e O f D i a g r a m O b j e c t K e y a n y T y p e z b w N T n L X > < a : K e y V a l u e O f D i a g r a m O b j e c t K e y a n y T y p e z b w N T n L X > < a : K e y > < K e y > C o l u m n s \ T a r i f a   N e t f l i x   E s t � n d a r   c o n   a n u n c i o s   ( s i n   i m p u e s t o s ) < / K e y > < / a : K e y > < a : V a l u e   i : t y p e = " T a b l e W i d g e t B a s e V i e w S t a t e " / > < / a : K e y V a l u e O f D i a g r a m O b j e c t K e y a n y T y p e z b w N T n L X > < a : K e y V a l u e O f D i a g r a m O b j e c t K e y a n y T y p e z b w N T n L X > < a : K e y > < K e y > C o l u m n s \ R e n t a   m e n u s u a l   p r o m o c i o n a l   p o r   l a   c o n t r a t a c i � n   d e l   N e t f l i x   E s t � n d a r   c o n   a n u n c i o s   ( s i n   i m p u e s t o s ) < / K e y > < / a : K e y > < a : V a l u e   i : t y p e = " T a b l e W i d g e t B a s e V i e w S t a t e " / > < / a : K e y V a l u e O f D i a g r a m O b j e c t K e y a n y T y p e z b w N T n L X > < a : K e y V a l u e O f D i a g r a m O b j e c t K e y a n y T y p e z b w N T n L X > < a : K e y > < K e y > C o l u m n s \ T � r m i n o s   y   c o n d i c i o n e s 1 0 < / K e y > < / a : K e y > < a : V a l u e   i : t y p e = " T a b l e W i d g e t B a s e V i e w S t a t e " / > < / a : K e y V a l u e O f D i a g r a m O b j e c t K e y a n y T y p e z b w N T n L X > < a : K e y V a l u e O f D i a g r a m O b j e c t K e y a n y T y p e z b w N T n L X > < a : K e y > < K e y > C o l u m n s \ T a r i f a   N e t f l i x   E s t � n d a r   ( s i n   i m p u e s t o s ) < / K e y > < / a : K e y > < a : V a l u e   i : t y p e = " T a b l e W i d g e t B a s e V i e w S t a t e " / > < / a : K e y V a l u e O f D i a g r a m O b j e c t K e y a n y T y p e z b w N T n L X > < a : K e y V a l u e O f D i a g r a m O b j e c t K e y a n y T y p e z b w N T n L X > < a : K e y > < K e y > C o l u m n s \ R e n t a   m e n u s u a l   p r o m o c i o n a l   p o r   l a   c o n t r a t a c i � n   d e l   N e t f l i x   E s t � n d a r   ( s i n   i m p u e s t o s ) < / K e y > < / a : K e y > < a : V a l u e   i : t y p e = " T a b l e W i d g e t B a s e V i e w S t a t e " / > < / a : K e y V a l u e O f D i a g r a m O b j e c t K e y a n y T y p e z b w N T n L X > < a : K e y V a l u e O f D i a g r a m O b j e c t K e y a n y T y p e z b w N T n L X > < a : K e y > < K e y > C o l u m n s \ T � r m i n o s   y   c o n d i c i o n e s 1 1 < / K e y > < / a : K e y > < a : V a l u e   i : t y p e = " T a b l e W i d g e t B a s e V i e w S t a t e " / > < / a : K e y V a l u e O f D i a g r a m O b j e c t K e y a n y T y p e z b w N T n L X > < a : K e y V a l u e O f D i a g r a m O b j e c t K e y a n y T y p e z b w N T n L X > < a : K e y > < K e y > C o l u m n s \ T a r i f a   N e t f l i x   P r e m i u m   ( s i n   i m p u e s t o s ) < / K e y > < / a : K e y > < a : V a l u e   i : t y p e = " T a b l e W i d g e t B a s e V i e w S t a t e " / > < / a : K e y V a l u e O f D i a g r a m O b j e c t K e y a n y T y p e z b w N T n L X > < a : K e y V a l u e O f D i a g r a m O b j e c t K e y a n y T y p e z b w N T n L X > < a : K e y > < K e y > C o l u m n s \ R e n t a   m e n u s u a l   p r o m o c i o n a l   p o r   l a   c o n t r a t a c i � n   d e l   N e t f l i x   P r e m i u m   ( s i n   i m p u e s t o s ) < / K e y > < / a : K e y > < a : V a l u e   i : t y p e = " T a b l e W i d g e t B a s e V i e w S t a t e " / > < / a : K e y V a l u e O f D i a g r a m O b j e c t K e y a n y T y p e z b w N T n L X > < a : K e y V a l u e O f D i a g r a m O b j e c t K e y a n y T y p e z b w N T n L X > < a : K e y > < K e y > C o l u m n s \ T � r m i n o s   y   c o n d i c i o n e s 1 2 < / K e y > < / a : K e y > < a : V a l u e   i : t y p e = " T a b l e W i d g e t B a s e V i e w S t a t e " / > < / a : K e y V a l u e O f D i a g r a m O b j e c t K e y a n y T y p e z b w N T n L X > < a : K e y V a l u e O f D i a g r a m O b j e c t K e y a n y T y p e z b w N T n L X > < a : K e y > < K e y > C o l u m n s \ T a r i f a   A m a z o n   P r i m e   ( s i n   i m p u e s t o s ) < / K e y > < / a : K e y > < a : V a l u e   i : t y p e = " T a b l e W i d g e t B a s e V i e w S t a t e " / > < / a : K e y V a l u e O f D i a g r a m O b j e c t K e y a n y T y p e z b w N T n L X > < a : K e y V a l u e O f D i a g r a m O b j e c t K e y a n y T y p e z b w N T n L X > < a : K e y > < K e y > C o l u m n s \ R e n t a   m e n u s u a l   p r o m o c i o n a l   p o r   l a   c o n t r a t a c i � n   P r i m e   V i d e o   ( s i n   i m p u e s t o s ) < / K e y > < / a : K e y > < a : V a l u e   i : t y p e = " T a b l e W i d g e t B a s e V i e w S t a t e " / > < / a : K e y V a l u e O f D i a g r a m O b j e c t K e y a n y T y p e z b w N T n L X > < a : K e y V a l u e O f D i a g r a m O b j e c t K e y a n y T y p e z b w N T n L X > < a : K e y > < K e y > C o l u m n s \ T � r m i n o s   y   c o n d i c i o n e s 1 3 < / K e y > < / a : K e y > < a : V a l u e   i : t y p e = " T a b l e W i d g e t B a s e V i e w S t a t e " / > < / a : K e y V a l u e O f D i a g r a m O b j e c t K e y a n y T y p e z b w N T n L X > < a : K e y V a l u e O f D i a g r a m O b j e c t K e y a n y T y p e z b w N T n L X > < a : K e y > < K e y > C o l u m n s \ T a r i f a   m a x     ( s i n   i m p u e s t o s ) < / K e y > < / a : K e y > < a : V a l u e   i : t y p e = " T a b l e W i d g e t B a s e V i e w S t a t e " / > < / a : K e y V a l u e O f D i a g r a m O b j e c t K e y a n y T y p e z b w N T n L X > < a : K e y V a l u e O f D i a g r a m O b j e c t K e y a n y T y p e z b w N T n L X > < a : K e y > < K e y > C o l u m n s \ R e n t a   m e n u s u a l   p r o m o c i o n a l   p o r   l a   c o n t r a t a c i � n   m a x     ( s i n   i m p u e s t o s ) < / K e y > < / a : K e y > < a : V a l u e   i : t y p e = " T a b l e W i d g e t B a s e V i e w S t a t e " / > < / a : K e y V a l u e O f D i a g r a m O b j e c t K e y a n y T y p e z b w N T n L X > < a : K e y V a l u e O f D i a g r a m O b j e c t K e y a n y T y p e z b w N T n L X > < a : K e y > < K e y > C o l u m n s \ T � r m i n o s   y   c o n d i c i o n e s 1 4 < / K e y > < / a : K e y > < a : V a l u e   i : t y p e = " T a b l e W i d g e t B a s e V i e w S t a t e " / > < / a : K e y V a l u e O f D i a g r a m O b j e c t K e y a n y T y p e z b w N T n L X > < a : K e y V a l u e O f D i a g r a m O b j e c t K e y a n y T y p e z b w N T n L X > < a : K e y > < K e y > C o l u m n s \ T a r i f a   P a r a m o u n t   +   ( s i n   i m p u e s t o s ) < / K e y > < / a : K e y > < a : V a l u e   i : t y p e = " T a b l e W i d g e t B a s e V i e w S t a t e " / > < / a : K e y V a l u e O f D i a g r a m O b j e c t K e y a n y T y p e z b w N T n L X > < a : K e y V a l u e O f D i a g r a m O b j e c t K e y a n y T y p e z b w N T n L X > < a : K e y > < K e y > C o l u m n s \ R e n t a   m e n u s u a l   p r o m o c i o n a l   p o r   l a   c o n t r a t a c i � n   P a r a m o u n t   +   ( s i n   i m p u e s t o s ) < / K e y > < / a : K e y > < a : V a l u e   i : t y p e = " T a b l e W i d g e t B a s e V i e w S t a t e " / > < / a : K e y V a l u e O f D i a g r a m O b j e c t K e y a n y T y p e z b w N T n L X > < a : K e y V a l u e O f D i a g r a m O b j e c t K e y a n y T y p e z b w N T n L X > < a : K e y > < K e y > C o l u m n s \ T � r m i n o s   y   c o n d i c i o n e s 1 5 < / K e y > < / a : K e y > < a : V a l u e   i : t y p e = " T a b l e W i d g e t B a s e V i e w S t a t e " / > < / a : K e y V a l u e O f D i a g r a m O b j e c t K e y a n y T y p e z b w N T n L X > < a : K e y V a l u e O f D i a g r a m O b j e c t K e y a n y T y p e z b w N T n L X > < a : K e y > < K e y > C o l u m n s \ T a r i f a   D i s n e y   +     ( s i n   i m p u e s t o s ) < / K e y > < / a : K e y > < a : V a l u e   i : t y p e = " T a b l e W i d g e t B a s e V i e w S t a t e " / > < / a : K e y V a l u e O f D i a g r a m O b j e c t K e y a n y T y p e z b w N T n L X > < a : K e y V a l u e O f D i a g r a m O b j e c t K e y a n y T y p e z b w N T n L X > < a : K e y > < K e y > C o l u m n s \ R e n t a   m e n u s u a l   p r o m o c i o n a l   p o r   l a   c o n t r a t a c i � n   D i s n e y   +     ( s i n   i m p u e s t o s ) < / K e y > < / a : K e y > < a : V a l u e   i : t y p e = " T a b l e W i d g e t B a s e V i e w S t a t e " / > < / a : K e y V a l u e O f D i a g r a m O b j e c t K e y a n y T y p e z b w N T n L X > < a : K e y V a l u e O f D i a g r a m O b j e c t K e y a n y T y p e z b w N T n L X > < a : K e y > < K e y > C o l u m n s \ T � r m i n o s   y   c o n d i c i o n e s 1 6 < / K e y > < / a : K e y > < a : V a l u e   i : t y p e = " T a b l e W i d g e t B a s e V i e w S t a t e " / > < / a : K e y V a l u e O f D i a g r a m O b j e c t K e y a n y T y p e z b w N T n L X > < a : K e y V a l u e O f D i a g r a m O b j e c t K e y a n y T y p e z b w N T n L X > < a : K e y > < K e y > C o l u m n s \ T a r i f a   S t a r   +     ( s i n   i m p u e s t o s ) < / K e y > < / a : K e y > < a : V a l u e   i : t y p e = " T a b l e W i d g e t B a s e V i e w S t a t e " / > < / a : K e y V a l u e O f D i a g r a m O b j e c t K e y a n y T y p e z b w N T n L X > < a : K e y V a l u e O f D i a g r a m O b j e c t K e y a n y T y p e z b w N T n L X > < a : K e y > < K e y > C o l u m n s \ R e n t a   m e n u s u a l   p r o m o c i o n a l   p o r   l a   c o n t r a t a c i � n   S t a r   +     ( s i n   i m p u e s t o s ) < / K e y > < / a : K e y > < a : V a l u e   i : t y p e = " T a b l e W i d g e t B a s e V i e w S t a t e " / > < / a : K e y V a l u e O f D i a g r a m O b j e c t K e y a n y T y p e z b w N T n L X > < a : K e y V a l u e O f D i a g r a m O b j e c t K e y a n y T y p e z b w N T n L X > < a : K e y > < K e y > C o l u m n s \ T � r m i n o s   y   c o n d i c i o n e s 1 7 < / K e y > < / a : K e y > < a : V a l u e   i : t y p e = " T a b l e W i d g e t B a s e V i e w S t a t e " / > < / a : K e y V a l u e O f D i a g r a m O b j e c t K e y a n y T y p e z b w N T n L X > < a : K e y V a l u e O f D i a g r a m O b j e c t K e y a n y T y p e z b w N T n L X > < a : K e y > < K e y > C o l u m n s \ T a r i f a   C o m b o   +   ( s i n   i m p u e s t o s ) < / K e y > < / a : K e y > < a : V a l u e   i : t y p e = " T a b l e W i d g e t B a s e V i e w S t a t e " / > < / a : K e y V a l u e O f D i a g r a m O b j e c t K e y a n y T y p e z b w N T n L X > < a : K e y V a l u e O f D i a g r a m O b j e c t K e y a n y T y p e z b w N T n L X > < a : K e y > < K e y > C o l u m n s \ R e n t a   m e n u s u a l   p r o m o c i o n a l   p o r   l a   c o n t r a t a c i � n   C o m b o   ( s i n   i m p u e s t o s ) < / K e y > < / a : K e y > < a : V a l u e   i : t y p e = " T a b l e W i d g e t B a s e V i e w S t a t e " / > < / a : K e y V a l u e O f D i a g r a m O b j e c t K e y a n y T y p e z b w N T n L X > < a : K e y V a l u e O f D i a g r a m O b j e c t K e y a n y T y p e z b w N T n L X > < a : K e y > < K e y > C o l u m n s \ T � r m i n o s   y   c o n d i c i o n e s 1 8 < / K e y > < / a : K e y > < a : V a l u e   i : t y p e = " T a b l e W i d g e t B a s e V i e w S t a t e " / > < / a : K e y V a l u e O f D i a g r a m O b j e c t K e y a n y T y p e z b w N T n L X > < a : K e y V a l u e O f D i a g r a m O b j e c t K e y a n y T y p e z b w N T n L X > < a : K e y > < K e y > C o l u m n s \ T a r i f a   F o x   S p o r t   P r e m i u m     ( s i n   i m p u e s t o s ) < / K e y > < / a : K e y > < a : V a l u e   i : t y p e = " T a b l e W i d g e t B a s e V i e w S t a t e " / > < / a : K e y V a l u e O f D i a g r a m O b j e c t K e y a n y T y p e z b w N T n L X > < a : K e y V a l u e O f D i a g r a m O b j e c t K e y a n y T y p e z b w N T n L X > < a : K e y > < K e y > C o l u m n s \ R e n t a   m e n u s u a l   p r o m o c i o n a l   p o r   l a   c o n t r a t a c i � n   F o x   S p o r t   P r e m i u m   ( s i n   i m p u e s t o s ) < / K e y > < / a : K e y > < a : V a l u e   i : t y p e = " T a b l e W i d g e t B a s e V i e w S t a t e " / > < / a : K e y V a l u e O f D i a g r a m O b j e c t K e y a n y T y p e z b w N T n L X > < a : K e y V a l u e O f D i a g r a m O b j e c t K e y a n y T y p e z b w N T n L X > < a : K e y > < K e y > C o l u m n s \ T � r m i n o s   y   c o n d i c i o n e s 1 9 < / 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 S u s c r i p t o r e s b < / 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 S u s c r i p t o r e s b < / 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 C o l u m n s \ N o m b r e   d e   P l a n / P a q u e t e < / K e y > < / a : K e y > < a : V a l u e   i : t y p e = " T a b l e W i d g e t B a s e V i e w S t a t e " / > < / a : K e y V a l u e O f D i a g r a m O b j e c t K e y a n y T y p e z b w N T n L X > < a : K e y V a l u e O f D i a g r a m O b j e c t K e y a n y T y p e z b w N T n L X > < a : K e y > < K e y > C o l u m n s \ T i p o * < / K e y > < / a : K e y > < a : V a l u e   i : t y p e = " T a b l e W i d g e t B a s e V i e w S t a t e " / > < / a : K e y V a l u e O f D i a g r a m O b j e c t K e y a n y T y p e z b w N T n L X > < a : K e y V a l u e O f D i a g r a m O b j e c t K e y a n y T y p e z b w N T n L X > < a : K e y > < K e y > C o l u m n s \ E s t a d o < / 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 C o l u m n s \ L o c a l i d a d < / K e y > < / a : K e y > < a : V a l u e   i : t y p e = " T a b l e W i d g e t B a s e V i e w S t a t e " / > < / a : K e y V a l u e O f D i a g r a m O b j e c t K e y a n y T y p e z b w N T n L X > < a : K e y V a l u e O f D i a g r a m O b j e c t K e y a n y T y p e z b w N T n L X > < a : K e y > < K e y > C o l u m n s \ d i c i e m b r e   2 0 2 3 < / K e y > < / a : K e y > < a : V a l u e   i : t y p e = " T a b l e W i d g e t B a s e V i e w S t a t e " / > < / a : K e y V a l u e O f D i a g r a m O b j e c t K e y a n y T y p e z b w N T n L X > < a : K e y V a l u e O f D i a g r a m O b j e c t K e y a n y T y p e z b w N T n L X > < a : K e y > < K e y > C o l u m n s \ N o m b r e   d e   P l a n / P a q u e t e 2 < / K e y > < / a : K e y > < a : V a l u e   i : t y p e = " T a b l e W i d g e t B a s e V i e w S t a t e " / > < / a : K e y V a l u e O f D i a g r a m O b j e c t K e y a n y T y p e z b w N T n L X > < a : K e y V a l u e O f D i a g r a m O b j e c t K e y a n y T y p e z b w N T n L X > < a : K e y > < K e y > C o l u m n s \ T i p o * 3 < / K e y > < / a : K e y > < a : V a l u e   i : t y p e = " T a b l e W i d g e t B a s e V i e w S t a t e " / > < / a : K e y V a l u e O f D i a g r a m O b j e c t K e y a n y T y p e z b w N T n L X > < a : K e y V a l u e O f D i a g r a m O b j e c t K e y a n y T y p e z b w N T n L X > < a : K e y > < K e y > C o l u m n s \ E s t a d o 4 < / K e y > < / a : K e y > < a : V a l u e   i : t y p e = " T a b l e W i d g e t B a s e V i e w S t a t e " / > < / a : K e y V a l u e O f D i a g r a m O b j e c t K e y a n y T y p e z b w N T n L X > < a : K e y V a l u e O f D i a g r a m O b j e c t K e y a n y T y p e z b w N T n L X > < a : K e y > < K e y > C o l u m n s \ M u n i c i p i o 5 < / K e y > < / a : K e y > < a : V a l u e   i : t y p e = " T a b l e W i d g e t B a s e V i e w S t a t e " / > < / a : K e y V a l u e O f D i a g r a m O b j e c t K e y a n y T y p e z b w N T n L X > < a : K e y V a l u e O f D i a g r a m O b j e c t K e y a n y T y p e z b w N T n L X > < a : K e y > < K e y > C o l u m n s \ L o c a l i d a d 6 < / K e y > < / a : K e y > < a : V a l u e   i : t y p e = " T a b l e W i d g e t B a s e V i e w S t a t e " / > < / a : K e y V a l u e O f D i a g r a m O b j e c t K e y a n y T y p e z b w N T n L X > < a : K e y V a l u e O f D i a g r a m O b j e c t K e y a n y T y p e z b w N T n L X > < a : K e y > < K e y > C o l u m n s \ m a y o   2 0 2 4 < / 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 S u s c r i p t o r e s a 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 S u s c r i p t o r e s a 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 C o l u m n s \ N o m b r e   d e   P l a n / P a q u e t e < / K e y > < / a : K e y > < a : V a l u e   i : t y p e = " T a b l e W i d g e t B a s e V i e w S t a t e " / > < / a : K e y V a l u e O f D i a g r a m O b j e c t K e y a n y T y p e z b w N T n L X > < a : K e y V a l u e O f D i a g r a m O b j e c t K e y a n y T y p e z b w N T n L X > < a : K e y > < K e y > C o l u m n s \ T i p o * < / K e y > < / a : K e y > < a : V a l u e   i : t y p e = " T a b l e W i d g e t B a s e V i e w S t a t e " / > < / a : K e y V a l u e O f D i a g r a m O b j e c t K e y a n y T y p e z b w N T n L X > < a : K e y V a l u e O f D i a g r a m O b j e c t K e y a n y T y p e z b w N T n L X > < a : K e y > < K e y > C o l u m n s \ T i p o   d e   p a q u e t e   c o n s i d e r a n d o   S T A R   ( s e r v i c i o s   i n c l u i d o s ) * < / K e y > < / a : K e y > < a : V a l u e   i : t y p e = " T a b l e W i d g e t B a s e V i e w S t a t e " / > < / a : K e y V a l u e O f D i a g r a m O b j e c t K e y a n y T y p e z b w N T n L X > < a : K e y V a l u e O f D i a g r a m O b j e c t K e y a n y T y p e z b w N T n L X > < a : K e y > < K e y > C o l u m n s \ E s t a d o < / 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 C o l u m n s \ L o c a l i d a d < / K e y > < / a : K e y > < a : V a l u e   i : t y p e = " T a b l e W i d g e t B a s e V i e w S t a t e " / > < / a : K e y V a l u e O f D i a g r a m O b j e c t K e y a n y T y p e z b w N T n L X > < a : K e y V a l u e O f D i a g r a m O b j e c t K e y a n y T y p e z b w N T n L X > < a : K e y > < K e y > C o l u m n s \ d i c i e m b r e   2 0 2 3 < / K e y > < / a : K e y > < a : V a l u e   i : t y p e = " T a b l e W i d g e t B a s e V i e w S t a t e " / > < / a : K e y V a l u e O f D i a g r a m O b j e c t K e y a n y T y p e z b w N T n L X > < a : K e y V a l u e O f D i a g r a m O b j e c t K e y a n y T y p e z b w N T n L X > < a : K e y > < K e y > C o l u m n s \ N o m b r e   d e   P l a n / P a q u e t e 2 < / K e y > < / a : K e y > < a : V a l u e   i : t y p e = " T a b l e W i d g e t B a s e V i e w S t a t e " / > < / a : K e y V a l u e O f D i a g r a m O b j e c t K e y a n y T y p e z b w N T n L X > < a : K e y V a l u e O f D i a g r a m O b j e c t K e y a n y T y p e z b w N T n L X > < a : K e y > < K e y > C o l u m n s \ T i p o * 3 < / K e y > < / a : K e y > < a : V a l u e   i : t y p e = " T a b l e W i d g e t B a s e V i e w S t a t e " / > < / a : K e y V a l u e O f D i a g r a m O b j e c t K e y a n y T y p e z b w N T n L X > < a : K e y V a l u e O f D i a g r a m O b j e c t K e y a n y T y p e z b w N T n L X > < a : K e y > < K e y > C o l u m n s \ T i p o   d e   p a q u e t e   c o n s i d e r a n d o   S T A R   ( s e r v i c i o s   i n c l u i d o s ) * 4 < / K e y > < / a : K e y > < a : V a l u e   i : t y p e = " T a b l e W i d g e t B a s e V i e w S t a t e " / > < / a : K e y V a l u e O f D i a g r a m O b j e c t K e y a n y T y p e z b w N T n L X > < a : K e y V a l u e O f D i a g r a m O b j e c t K e y a n y T y p e z b w N T n L X > < a : K e y > < K e y > C o l u m n s \ E s t a d o 5 < / K e y > < / a : K e y > < a : V a l u e   i : t y p e = " T a b l e W i d g e t B a s e V i e w S t a t e " / > < / a : K e y V a l u e O f D i a g r a m O b j e c t K e y a n y T y p e z b w N T n L X > < a : K e y V a l u e O f D i a g r a m O b j e c t K e y a n y T y p e z b w N T n L X > < a : K e y > < K e y > C o l u m n s \ M u n i c i p i o 6 < / K e y > < / a : K e y > < a : V a l u e   i : t y p e = " T a b l e W i d g e t B a s e V i e w S t a t e " / > < / a : K e y V a l u e O f D i a g r a m O b j e c t K e y a n y T y p e z b w N T n L X > < a : K e y V a l u e O f D i a g r a m O b j e c t K e y a n y T y p e z b w N T n L X > < a : K e y > < K e y > C o l u m n s \ L o c a l i d a d 7 < / K e y > < / a : K e y > < a : V a l u e   i : t y p e = " T a b l e W i d g e t B a s e V i e w S t a t e " / > < / a : K e y V a l u e O f D i a g r a m O b j e c t K e y a n y T y p e z b w N T n L X > < a : K e y V a l u e O f D i a g r a m O b j e c t K e y a n y T y p e z b w N T n L X > < a : K e y > < K e y > C o l u m n s \ m a y o   2 0 2 4 < / 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 C a n a s t a 2 0 2 3 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 C a n a s t a 2 0 2 3 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 C o l u m n s \ N o m b r e   d e   P l a n / P a q u e t e < / K e y > < / a : K e y > < a : V a l u e   i : t y p e = " T a b l e W i d g e t B a s e V i e w S t a t e " / > < / a : K e y V a l u e O f D i a g r a m O b j e c t K e y a n y T y p e z b w N T n L X > < a : K e y V a l u e O f D i a g r a m O b j e c t K e y a n y T y p e z b w N T n L X > < a : K e y > < K e y > C o l u m n s \ T i p o * < / K e y > < / a : K e y > < a : V a l u e   i : t y p e = " T a b l e W i d g e t B a s e V i e w S t a t e " / > < / a : K e y V a l u e O f D i a g r a m O b j e c t K e y a n y T y p e z b w N T n L X > < a : K e y V a l u e O f D i a g r a m O b j e c t K e y a n y T y p e z b w N T n L X > < a : K e y > < K e y > C o l u m n s \ T i p o   d e   p a q u e t e   c o n s i d e r a n d o   S T A R   ( s e r v i c i o s   i n c l u i d o s ) * < / K e y > < / a : K e y > < a : V a l u e   i : t y p e = " T a b l e W i d g e t B a s e V i e w S t a t e " / > < / a : K e y V a l u e O f D i a g r a m O b j e c t K e y a n y T y p e z b w N T n L X > < a : K e y V a l u e O f D i a g r a m O b j e c t K e y a n y T y p e z b w N T n L X > < a : K e y > < K e y > C o l u m n s \ E s t a d o < / 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 C o l u m n s \ L o c a l i d a d < / K e y > < / a : K e y > < a : V a l u e   i : t y p e = " T a b l e W i d g e t B a s e V i e w S t a t e " / > < / a : K e y V a l u e O f D i a g r a m O b j e c t K e y a n y T y p e z b w N T n L X > < a : K e y V a l u e O f D i a g r a m O b j e c t K e y a n y T y p e z b w N T n L X > < a : K e y > < K e y > C o l u m n s \ F o l i o   R P C < / K e y > < / a : K e y > < a : V a l u e   i : t y p e = " T a b l e W i d g e t B a s e V i e w S t a t e " / > < / a : K e y V a l u e O f D i a g r a m O b j e c t K e y a n y T y p e z b w N T n L X > < a : K e y V a l u e O f D i a g r a m O b j e c t K e y a n y T y p e z b w N T n L X > < a : K e y > < K e y > C o l u m n s \ R e n t a   m e n s u a l     ( s i n   i m p u e s t o s ) < / K e y > < / a : K e y > < a : V a l u e   i : t y p e = " T a b l e W i d g e t B a s e V i e w S t a t e " / > < / a : K e y V a l u e O f D i a g r a m O b j e c t K e y a n y T y p e z b w N T n L X > < a : K e y V a l u e O f D i a g r a m O b j e c t K e y a n y T y p e z b w N T n L X > < a : K e y > < K e y > C o l u m n s \ R e n t a   m e n s u a l     ( c o n   i m p u e s t o s ) < / K e y > < / a : K e y > < a : V a l u e   i : t y p e = " T a b l e W i d g e t B a s e V i e w S t a t e " / > < / a : K e y V a l u e O f D i a g r a m O b j e c t K e y a n y T y p e z b w N T n L X > < a : K e y V a l u e O f D i a g r a m O b j e c t K e y a n y T y p e z b w N T n L X > < a : K e y > < K e y > C o l u m n s \ C a n t i d a d   d e   T V   i n c l u i d a s < / K e y > < / a : K e y > < a : V a l u e   i : t y p e = " T a b l e W i d g e t B a s e V i e w S t a t e " / > < / a : K e y V a l u e O f D i a g r a m O b j e c t K e y a n y T y p e z b w N T n L X > < a : K e y V a l u e O f D i a g r a m O b j e c t K e y a n y T y p e z b w N T n L X > < a : K e y > < K e y > C o l u m n s \ E n t r e t e n i m i e n t o < / K e y > < / a : K e y > < a : V a l u e   i : t y p e = " T a b l e W i d g e t B a s e V i e w S t a t e " / > < / a : K e y V a l u e O f D i a g r a m O b j e c t K e y a n y T y p e z b w N T n L X > < a : K e y V a l u e O f D i a g r a m O b j e c t K e y a n y T y p e z b w N T n L X > < a : K e y > < K e y > C o l u m n s \ M � s i c a < / K e y > < / a : K e y > < a : V a l u e   i : t y p e = " T a b l e W i d g e t B a s e V i e w S t a t e " / > < / a : K e y V a l u e O f D i a g r a m O b j e c t K e y a n y T y p e z b w N T n L X > < a : K e y V a l u e O f D i a g r a m O b j e c t K e y a n y T y p e z b w N T n L X > < a : K e y > < K e y > C o l u m n s \ N i � o s / F a m i l i a r < / K e y > < / a : K e y > < a : V a l u e   i : t y p e = " T a b l e W i d g e t B a s e V i e w S t a t e " / > < / a : K e y V a l u e O f D i a g r a m O b j e c t K e y a n y T y p e z b w N T n L X > < a : K e y V a l u e O f D i a g r a m O b j e c t K e y a n y T y p e z b w N T n L X > < a : K e y > < K e y > C o l u m n s \ D o c u m e n t a l e s   /   C u l t u r a l e s < / K e y > < / a : K e y > < a : V a l u e   i : t y p e = " T a b l e W i d g e t B a s e V i e w S t a t e " / > < / a : K e y V a l u e O f D i a g r a m O b j e c t K e y a n y T y p e z b w N T n L X > < a : K e y V a l u e O f D i a g r a m O b j e c t K e y a n y T y p e z b w N T n L X > < a : K e y > < K e y > C o l u m n s \ N a c i o n a l e s < / K e y > < / a : K e y > < a : V a l u e   i : t y p e = " T a b l e W i d g e t B a s e V i e w S t a t e " / > < / a : K e y V a l u e O f D i a g r a m O b j e c t K e y a n y T y p e z b w N T n L X > < a : K e y V a l u e O f D i a g r a m O b j e c t K e y a n y T y p e z b w N T n L X > < a : K e y > < K e y > C o l u m n s \ I n t e r n a c i o n a l e s < / K e y > < / a : K e y > < a : V a l u e   i : t y p e = " T a b l e W i d g e t B a s e V i e w S t a t e " / > < / a : K e y V a l u e O f D i a g r a m O b j e c t K e y a n y T y p e z b w N T n L X > < a : K e y V a l u e O f D i a g r a m O b j e c t K e y a n y T y p e z b w N T n L X > < a : K e y > < K e y > C o l u m n s \ D e p o r t e s < / K e y > < / a : K e y > < a : V a l u e   i : t y p e = " T a b l e W i d g e t B a s e V i e w S t a t e " / > < / a : K e y V a l u e O f D i a g r a m O b j e c t K e y a n y T y p e z b w N T n L X > < a : K e y V a l u e O f D i a g r a m O b j e c t K e y a n y T y p e z b w N T n L X > < a : K e y > < K e y > C o l u m n s \ P e l � c u l a s < / K e y > < / a : K e y > < a : V a l u e   i : t y p e = " T a b l e W i d g e t B a s e V i e w S t a t e " / > < / a : K e y V a l u e O f D i a g r a m O b j e c t K e y a n y T y p e z b w N T n L X > < a : K e y V a l u e O f D i a g r a m O b j e c t K e y a n y T y p e z b w N T n L X > < a : K e y > < K e y > C o l u m n s \ N � m e r o   d e   c a n a l e s   c o n   a l t a   d e f i n i c i � n   ( H D ) < / K e y > < / a : K e y > < a : V a l u e   i : t y p e = " T a b l e W i d g e t B a s e V i e w S t a t e " / > < / a : K e y V a l u e O f D i a g r a m O b j e c t K e y a n y T y p e z b w N T n L X > < a : K e y V a l u e O f D i a g r a m O b j e c t K e y a n y T y p e z b w N T n L X > < a : K e y > < K e y > C o l u m n s \ N � m e r o   d e   c a n a l e s   " S o l o   A u d i o " < / K e y > < / a : K e y > < a : V a l u e   i : t y p e = " T a b l e W i d g e t B a s e V i e w S t a t e " / > < / a : K e y V a l u e O f D i a g r a m O b j e c t K e y a n y T y p e z b w N T n L X > < a : K e y V a l u e O f D i a g r a m O b j e c t K e y a n y T y p e z b w N T n L X > < a : K e y > < K e y > C o l u m n s \ m a x < / K e y > < / a : K e y > < a : V a l u e   i : t y p e = " T a b l e W i d g e t B a s e V i e w S t a t e " / > < / a : K e y V a l u e O f D i a g r a m O b j e c t K e y a n y T y p e z b w N T n L X > < a : K e y V a l u e O f D i a g r a m O b j e c t K e y a n y T y p e z b w N T n L X > < a : K e y > < K e y > C o l u m n s \ p a r a m o u n t   + < / K e y > < / a : K e y > < a : V a l u e   i : t y p e = " T a b l e W i d g e t B a s e V i e w S t a t e " / > < / a : K e y V a l u e O f D i a g r a m O b j e c t K e y a n y T y p e z b w N T n L X > < a : K e y V a l u e O f D i a g r a m O b j e c t K e y a n y T y p e z b w N T n L X > < a : K e y > < K e y > C o l u m n s \ F o x   S p o r t   P r e m i u m < / K e y > < / a : K e y > < a : V a l u e   i : t y p e = " T a b l e W i d g e t B a s e V i e w S t a t e " / > < / a : K e y V a l u e O f D i a g r a m O b j e c t K e y a n y T y p e z b w N T n L X > < a : K e y V a l u e O f D i a g r a m O b j e c t K e y a n y T y p e z b w N T n L X > < a : K e y > < K e y > C o l u m n s \ M L B < / K e y > < / a : K e y > < a : V a l u e   i : t y p e = " T a b l e W i d g e t B a s e V i e w S t a t e " / > < / a : K e y V a l u e O f D i a g r a m O b j e c t K e y a n y T y p e z b w N T n L X > < a : K e y V a l u e O f D i a g r a m O b j e c t K e y a n y T y p e z b w N T n L X > < a : K e y > < K e y > C o l u m n s \ N B A   L e a g u e   P a s s < / K e y > < / a : K e y > < a : V a l u e   i : t y p e = " T a b l e W i d g e t B a s e V i e w S t a t e " / > < / a : K e y V a l u e O f D i a g r a m O b j e c t K e y a n y T y p e z b w N T n L X > < a : K e y V a l u e O f D i a g r a m O b j e c t K e y a n y T y p e z b w N T n L X > < a : K e y > < K e y > C o l u m n s \ A d u l t   P a c k < / K e y > < / a : K e y > < a : V a l u e   i : t y p e = " T a b l e W i d g e t B a s e V i e w S t a t e " / > < / a : K e y V a l u e O f D i a g r a m O b j e c t K e y a n y T y p e z b w N T n L X > < a : K e y V a l u e O f D i a g r a m O b j e c t K e y a n y T y p e z b w N T n L X > < a : K e y > < K e y > C o l u m n s \ o t r o s < / K e y > < / a : K e y > < a : V a l u e   i : t y p e = " T a b l e W i d g e t B a s e V i e w S t a t e " / > < / a : K e y V a l u e O f D i a g r a m O b j e c t K e y a n y T y p e z b w N T n L X > < a : K e y V a l u e O f D i a g r a m O b j e c t K e y a n y T y p e z b w N T n L X > < a : K e y > < K e y > C o l u m n s \ C a n t i d a d   d e   l � n e a s   i n c l u i d a s < / K e y > < / a : K e y > < a : V a l u e   i : t y p e = " T a b l e W i d g e t B a s e V i e w S t a t e " / > < / a : K e y V a l u e O f D i a g r a m O b j e c t K e y a n y T y p e z b w N T n L X > < a : K e y V a l u e O f D i a g r a m O b j e c t K e y a n y T y p e z b w N T n L X > < a : K e y > < K e y > C o l u m n s \ N a c i o n a l e s 2 < / K e y > < / a : K e y > < a : V a l u e   i : t y p e = " T a b l e W i d g e t B a s e V i e w S t a t e " / > < / a : K e y V a l u e O f D i a g r a m O b j e c t K e y a n y T y p e z b w N T n L X > < a : K e y V a l u e O f D i a g r a m O b j e c t K e y a n y T y p e z b w N T n L X > < a : K e y > < K e y > C o l u m n s \ E s t d o s   U n i d o s   y   C a n a d � < / K e y > < / a : K e y > < a : V a l u e   i : t y p e = " T a b l e W i d g e t B a s e V i e w S t a t e " / > < / a : K e y V a l u e O f D i a g r a m O b j e c t K e y a n y T y p e z b w N T n L X > < a : K e y V a l u e O f D i a g r a m O b j e c t K e y a n y T y p e z b w N T n L X > < a : K e y > < K e y > C o l u m n s \ N a c i o n a l e s 3 < / K e y > < / a : K e y > < a : V a l u e   i : t y p e = " T a b l e W i d g e t B a s e V i e w S t a t e " / > < / a : K e y V a l u e O f D i a g r a m O b j e c t K e y a n y T y p e z b w N T n L X > < a : K e y V a l u e O f D i a g r a m O b j e c t K e y a n y T y p e z b w N T n L X > < a : K e y > < K e y > C o l u m n s \ E s t d o s   U n i d o s   y   C a n a d � 4 < / K e y > < / a : K e y > < a : V a l u e   i : t y p e = " T a b l e W i d g e t B a s e V i e w S t a t e " / > < / a : K e y V a l u e O f D i a g r a m O b j e c t K e y a n y T y p e z b w N T n L X > < a : K e y V a l u e O f D i a g r a m O b j e c t K e y a n y T y p e z b w N T n L X > < a : K e y > < K e y > C o l u m n s \ V e l o c i d a d   d e   b a j a d a   o f e r t a d a   ( M b p s ) < / K e y > < / a : K e y > < a : V a l u e   i : t y p e = " T a b l e W i d g e t B a s e V i e w S t a t e " / > < / a : K e y V a l u e O f D i a g r a m O b j e c t K e y a n y T y p e z b w N T n L X > < a : K e y V a l u e O f D i a g r a m O b j e c t K e y a n y T y p e z b w N T n L X > < a : K e y > < K e y > C o l u m n s \ V e l o c i d a d   d e   s u b i d a   o f e r t a d a   ( M b p s ) < / K e y > < / a : K e y > < a : V a l u e   i : t y p e = " T a b l e W i d g e t B a s e V i e w S t a t e " / > < / a : K e y V a l u e O f D i a g r a m O b j e c t K e y a n y T y p e z b w N T n L X > < a : K e y V a l u e O f D i a g r a m O b j e c t K e y a n y T y p e z b w N T n L X > < a : K e y > < K e y > C o l u m n s \ � C u e n t a   c o n   p r o m o c i o n e s   q u e   i n c r e m e n t e n   s u   v e l o c i d a d   a   p a r t i r   d e l   p a g o   d e   l a   m i s m a   r e n t a   m e n s u a l ?   ( S < / K e y > < / a : K e y > < a : V a l u e   i : t y p e = " T a b l e W i d g e t B a s e V i e w S t a t e " / > < / a : K e y V a l u e O f D i a g r a m O b j e c t K e y a n y T y p e z b w N T n L X > < a : K e y V a l u e O f D i a g r a m O b j e c t K e y a n y T y p e z b w N T n L X > < a : K e y > < K e y > C o l u m n s \ D u r a c i � n   d e l   p e r i o d o   d e   t i e m p o   ( e n   m e s e s )   e n   q u e   o f r e c e   l a   p r o m o c i � n   d e   i n c r e m e n t o   d e   v e l o c i d a d < / K e y > < / a : K e y > < a : V a l u e   i : t y p e = " T a b l e W i d g e t B a s e V i e w S t a t e " / > < / a : K e y V a l u e O f D i a g r a m O b j e c t K e y a n y T y p e z b w N T n L X > < a : K e y V a l u e O f D i a g r a m O b j e c t K e y a n y T y p e z b w N T n L X > < a : K e y > < K e y > C o l u m n s \ V e l o c i d a d   d e   s u b i d a   o f e r t a d a   ( M b p s )   c o n   l a   p r o m o c i � n   d e   a u m e n t o   d e   v e l o c i d a d < / K e y > < / a : K e y > < a : V a l u e   i : t y p e = " T a b l e W i d g e t B a s e V i e w S t a t e " / > < / a : K e y V a l u e O f D i a g r a m O b j e c t K e y a n y T y p e z b w N T n L X > < a : K e y V a l u e O f D i a g r a m O b j e c t K e y a n y T y p e z b w N T n L X > < a : K e y > < K e y > C o l u m n s \ V e l o c i d a d   d e   b a j a d a   o f e r t a d a   ( M b p s )   c o n   l a   p r o m o c i � n   d e   a u m e n t o   d e   v e l o c i d a d < / K e y > < / a : K e y > < a : V a l u e   i : t y p e = " T a b l e W i d g e t B a s e V i e w S t a t e " / > < / a : K e y V a l u e O f D i a g r a m O b j e c t K e y a n y T y p e z b w N T n L X > < a : K e y V a l u e O f D i a g r a m O b j e c t K e y a n y T y p e z b w N T n L X > < a : K e y > < K e y > C o l u m n s \ V e l o c i d a d   d e   s u b i d a   o f e r t a d a   ( M b p s )   c o n   l a   p r o m o c i � n   d e   a u m e n t o   d e   v e l o c i d a d 5 < / K e y > < / a : K e y > < a : V a l u e   i : t y p e = " T a b l e W i d g e t B a s e V i e w S t a t e " / > < / a : K e y V a l u e O f D i a g r a m O b j e c t K e y a n y T y p e z b w N T n L X > < a : K e y V a l u e O f D i a g r a m O b j e c t K e y a n y T y p e z b w N T n L X > < a : K e y > < K e y > C o l u m n s \ V e l o c i d a d   d e   b a j a d a   o f e r t a d a   ( M b p s )   c o n   l a   p r o m o c i � n   d e   a u m e n t o   d e   v e l o c i d a d 6 < / K e y > < / a : K e y > < a : V a l u e   i : t y p e = " T a b l e W i d g e t B a s e V i e w S t a t e " / > < / a : K e y V a l u e O f D i a g r a m O b j e c t K e y a n y T y p e z b w N T n L X > < a : K e y V a l u e O f D i a g r a m O b j e c t K e y a n y T y p e z b w N T n L X > < a : K e y > < K e y > C o l u m n s \ V e l o c i d a d   d e   s u b i d a   o f e r t a d a   ( M b p s )   c o n   l a   p r o m o c i � n   d e   a u m e n t o   d e   v e l o c i d a d 7 < / K e y > < / a : K e y > < a : V a l u e   i : t y p e = " T a b l e W i d g e t B a s e V i e w S t a t e " / > < / a : K e y V a l u e O f D i a g r a m O b j e c t K e y a n y T y p e z b w N T n L X > < a : K e y V a l u e O f D i a g r a m O b j e c t K e y a n y T y p e z b w N T n L X > < a : K e y > < K e y > C o l u m n s \ � C u e n t a   c o n   p r o m o c i o n e s   q u e   v u e l v a n   s u   v e l o c i d a d   s i m � t r i c a   p a r t i r   d e l   p a g o   d e   l a   m i s m a   r e n t a   m e n s u a l < / K e y > < / a : K e y > < a : V a l u e   i : t y p e = " T a b l e W i d g e t B a s e V i e w S t a t e " / > < / a : K e y V a l u e O f D i a g r a m O b j e c t K e y a n y T y p e z b w N T n L X > < a : K e y V a l u e O f D i a g r a m O b j e c t K e y a n y T y p e z b w N T n L X > < a : K e y > < K e y > C o l u m n s \ D u r a c i � n   d e l   p e r i o d o   d e   t i e m p o   ( e n   m e s e s )   e n   q u e   o f r e c e   l a   p r o m o c i � n   d e   s i m e t r � a   e n   l a   v e l o c i d a d < / K e y > < / a : K e y > < a : V a l u e   i : t y p e = " T a b l e W i d g e t B a s e V i e w S t a t e " / > < / a : K e y V a l u e O f D i a g r a m O b j e c t K e y a n y T y p e z b w N T n L X > < a : K e y V a l u e O f D i a g r a m O b j e c t K e y a n y T y p e z b w N T n L X > < a : K e y > < K e y > C o l u m n s \ � I n c l u y e   P a r a m o u n t   + ? < / K e y > < / a : K e y > < a : V a l u e   i : t y p e = " T a b l e W i d g e t B a s e V i e w S t a t e " / > < / a : K e y V a l u e O f D i a g r a m O b j e c t K e y a n y T y p e z b w N T n L X > < a : K e y V a l u e O f D i a g r a m O b j e c t K e y a n y T y p e z b w N T n L X > < a : K e y > < K e y > C o l u m n s \ T � r m i n o s   y   c o n d i c i o n e s   d e l   s e r v i c i o * * < / K e y > < / a : K e y > < a : V a l u e   i : t y p e = " T a b l e W i d g e t B a s e V i e w S t a t e " / > < / a : K e y V a l u e O f D i a g r a m O b j e c t K e y a n y T y p e z b w N T n L X > < a : K e y V a l u e O f D i a g r a m O b j e c t K e y a n y T y p e z b w N T n L X > < a : K e y > < K e y > C o l u m n s \ D u r a c i � n   d e l   p e r i o d o   d e   t i e m p o   ( e n   m e s e s )   e n   q u e   o f r e c e   a   l o s   u s u a r i o s   f i n a l e s   e l   s e r v i c i o   d e   P a r a m o < / K e y > < / a : K e y > < a : V a l u e   i : t y p e = " T a b l e W i d g e t B a s e V i e w S t a t e " / > < / a : K e y V a l u e O f D i a g r a m O b j e c t K e y a n y T y p e z b w N T n L X > < a : K e y V a l u e O f D i a g r a m O b j e c t K e y a n y T y p e z b w N T n L X > < a : K e y > < K e y > C o l u m n s \ � I n c l u y e   m a x ? < / K e y > < / a : K e y > < a : V a l u e   i : t y p e = " T a b l e W i d g e t B a s e V i e w S t a t e " / > < / a : K e y V a l u e O f D i a g r a m O b j e c t K e y a n y T y p e z b w N T n L X > < a : K e y V a l u e O f D i a g r a m O b j e c t K e y a n y T y p e z b w N T n L X > < a : K e y > < K e y > C o l u m n s \ T � r m i n o s   y   c o n d i c i o n e s   d e l   s e r v i c i o * * 8 < / K e y > < / a : K e y > < a : V a l u e   i : t y p e = " T a b l e W i d g e t B a s e V i e w S t a t e " / > < / a : K e y V a l u e O f D i a g r a m O b j e c t K e y a n y T y p e z b w N T n L X > < a : K e y V a l u e O f D i a g r a m O b j e c t K e y a n y T y p e z b w N T n L X > < a : K e y > < K e y > C o l u m n s \ D u r a c i � n   d e l   p e r i o d o   d e   t i e m p o   ( e n   m e s e s )   e n   q u e   o f r e c e   a   l o s   u s u a r i o s   f i n a l e s   e l   s e r v i c i o   d e   m a x   s i < / K e y > < / a : K e y > < a : V a l u e   i : t y p e = " T a b l e W i d g e t B a s e V i e w S t a t e " / > < / a : K e y V a l u e O f D i a g r a m O b j e c t K e y a n y T y p e z b w N T n L X > < a : K e y V a l u e O f D i a g r a m O b j e c t K e y a n y T y p e z b w N T n L X > < a : K e y > < K e y > C o l u m n s \ � I n c l u y e   m a x ?   9 < / K e y > < / a : K e y > < a : V a l u e   i : t y p e = " T a b l e W i d g e t B a s e V i e w S t a t e " / > < / a : K e y V a l u e O f D i a g r a m O b j e c t K e y a n y T y p e z b w N T n L X > < a : K e y V a l u e O f D i a g r a m O b j e c t K e y a n y T y p e z b w N T n L X > < a : K e y > < K e y > C o l u m n s \ T � r m i n o s   y   c o n d i c i o n e s   d e l   s e r v i c i o * * 1 0 < / K e y > < / a : K e y > < a : V a l u e   i : t y p e = " T a b l e W i d g e t B a s e V i e w S t a t e " / > < / a : K e y V a l u e O f D i a g r a m O b j e c t K e y a n y T y p e z b w N T n L X > < a : K e y V a l u e O f D i a g r a m O b j e c t K e y a n y T y p e z b w N T n L X > < a : K e y > < K e y > C o l u m n s \ D u r a c i � n   d e l   p e r i o d o   d e   t i e m p o   ( e n   m e s e s )   e n   q u e   o f r e c e   a   l o s   u s u a r i o s   f i n a l e s   e l   s e r v i c i o   d e   m a x     2 < / K e y > < / a : K e y > < a : V a l u e   i : t y p e = " T a b l e W i d g e t B a s e V i e w S t a t e " / > < / a : K e y V a l u e O f D i a g r a m O b j e c t K e y a n y T y p e z b w N T n L X > < a : K e y V a l u e O f D i a g r a m O b j e c t K e y a n y T y p e z b w N T n L X > < a : K e y > < K e y > C o l u m n s \ C a n t i d a d   d e   s e r v i c i o s   a d i c i o n a l e s   i n c l u i d o s < / K e y > < / a : K e y > < a : V a l u e   i : t y p e = " T a b l e W i d g e t B a s e V i e w S t a t e " / > < / a : K e y V a l u e O f D i a g r a m O b j e c t K e y a n y T y p e z b w N T n L X > < a : K e y V a l u e O f D i a g r a m O b j e c t K e y a n y T y p e z b w N T n L X > < a : K e y > < K e y > C o l u m n s \ N o m b r e   d e   l o s   s e r v i c i o s   a d i c i o n a l e s   i n c l u i d o s   ( p o r   e j e m p l o   (   I d e n t i f i c a d o r   d e   l l a m a d a s ,   D e s v i o   d e   l l < / K e y > < / a : K e y > < a : V a l u e   i : t y p e = " T a b l e W i d g e t B a s e V i e w S t a t e " / > < / a : K e y V a l u e O f D i a g r a m O b j e c t K e y a n y T y p e z b w N T n L X > < a : K e y V a l u e O f D i a g r a m O b j e c t K e y a n y T y p e z b w N T n L X > < a : K e y > < K e y > C o l u m n s \ T V   a d i c i o n a l   * * * < / K e y > < / a : K e y > < a : V a l u e   i : t y p e = " T a b l e W i d g e t B a s e V i e w S t a t e " / > < / a : K e y V a l u e O f D i a g r a m O b j e c t K e y a n y T y p e z b w N T n L X > < a : K e y V a l u e O f D i a g r a m O b j e c t K e y a n y T y p e z b w N T n L X > < a : K e y > < K e y > C o l u m n s \ C a r g o   p o r   i n s t a l a c i � n   * * * < / K e y > < / a : K e y > < a : V a l u e   i : t y p e = " T a b l e W i d g e t B a s e V i e w S t a t e " / > < / a : K e y V a l u e O f D i a g r a m O b j e c t K e y a n y T y p e z b w N T n L X > < a : K e y V a l u e O f D i a g r a m O b j e c t K e y a n y T y p e z b w N T n L X > < a : K e y > < K e y > C o l u m n s \ E q u i p o   t e r m i n a l   ( M � d e m / O N T ) * * * < / K e y > < / a : K e y > < a : V a l u e   i : t y p e = " T a b l e W i d g e t B a s e V i e w S t a t e " / > < / a : K e y V a l u e O f D i a g r a m O b j e c t K e y a n y T y p e z b w N T n L X > < a : K e y V a l u e O f D i a g r a m O b j e c t K e y a n y T y p e z b w N T n L X > < a : K e y > < K e y > C o l u m n s \ D e c o d i f i c a d o r   ( d i g i t a l )   * * * < / K e y > < / a : K e y > < a : V a l u e   i : t y p e = " T a b l e W i d g e t B a s e V i e w S t a t e " / > < / a : K e y V a l u e O f D i a g r a m O b j e c t K e y a n y T y p e z b w N T n L X > < a : K e y V a l u e O f D i a g r a m O b j e c t K e y a n y T y p e z b w N T n L X > < a : K e y > < K e y > C o l u m n s \ X v i e w   +   /   X v i e w   * * * < / K e y > < / a : K e y > < a : V a l u e   i : t y p e = " T a b l e W i d g e t B a s e V i e w S t a t e " / > < / a : K e y V a l u e O f D i a g r a m O b j e c t K e y a n y T y p e z b w N T n L X > < a : K e y V a l u e O f D i a g r a m O b j e c t K e y a n y T y p e z b w N T n L X > < a : K e y > < K e y > C o l u m n s \ S e r v i c i o   C l o u d     ( C l o u d   1 ,   C l o u d   2 )   * * * < / K e y > < / a : K e y > < a : V a l u e   i : t y p e = " T a b l e W i d g e t B a s e V i e w S t a t e " / > < / a : K e y V a l u e O f D i a g r a m O b j e c t K e y a n y T y p e z b w N T n L X > < a : K e y V a l u e O f D i a g r a m O b j e c t K e y a n y T y p e z b w N T n L X > < a : K e y > < K e y > C o l u m n s \ M e g a   M � v i l   * * * < / K e y > < / a : K e y > < a : V a l u e   i : t y p e = " T a b l e W i d g e t B a s e V i e w S t a t e " / > < / a : K e y V a l u e O f D i a g r a m O b j e c t K e y a n y T y p e z b w N T n L X > < a : K e y V a l u e O f D i a g r a m O b j e c t K e y a n y T y p e z b w N T n L X > < a : K e y > < K e y > C o l u m n s \ E x t e n s o r   M e s h   * * * < / K e y > < / a : K e y > < a : V a l u e   i : t y p e = " T a b l e W i d g e t B a s e V i e w S t a t e " / > < / a : K e y V a l u e O f D i a g r a m O b j e c t K e y a n y T y p e z b w N T n L X > < a : K e y V a l u e O f D i a g r a m O b j e c t K e y a n y T y p e z b w N T n L X > < a : K e y > < K e y > C o l u m n s \ N o r t o n   S e c u r i t y   * * *   N o r t o n   F a m i l y   * * *   N o r t o n   S e c u r e   V P N   * * * < / K e y > < / a : K e y > < a : V a l u e   i : t y p e = " T a b l e W i d g e t B a s e V i e w S t a t e " / > < / a : K e y V a l u e O f D i a g r a m O b j e c t K e y a n y T y p e z b w N T n L X > < a : K e y V a l u e O f D i a g r a m O b j e c t K e y a n y T y p e z b w N T n L X > < a : K e y > < K e y > C o l u m n s \ F o x   S p o r t   P r e m i u m   * * * * < / K e y > < / a : K e y > < a : V a l u e   i : t y p e = " T a b l e W i d g e t B a s e V i e w S t a t e " / > < / a : K e y V a l u e O f D i a g r a m O b j e c t K e y a n y T y p e z b w N T n L X > < a : K e y V a l u e O f D i a g r a m O b j e c t K e y a n y T y p e z b w N T n L X > < a : K e y > < K e y > C o l u m n s \ N B A   L e a g u e   P a s s   * * * * < / K e y > < / a : K e y > < a : V a l u e   i : t y p e = " T a b l e W i d g e t B a s e V i e w S t a t e " / > < / a : K e y V a l u e O f D i a g r a m O b j e c t K e y a n y T y p e z b w N T n L X > < a : K e y V a l u e O f D i a g r a m O b j e c t K e y a n y T y p e z b w N T n L X > < a : K e y > < K e y > C o l u m n s \ M B L   * * * * < / K e y > < / a : K e y > < a : V a l u e   i : t y p e = " T a b l e W i d g e t B a s e V i e w S t a t e " / > < / a : K e y V a l u e O f D i a g r a m O b j e c t K e y a n y T y p e z b w N T n L X > < a : K e y V a l u e O f D i a g r a m O b j e c t K e y a n y T y p e z b w N T n L X > < a : K e y > < K e y > C o l u m n s \ O t r o s   I n c l u y a   l a s   c o l u m n a s   q u e   s e a n   n e c e s a r i a s 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 T a r i f a s 2 0 2 4 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 T a r i f a s 2 0 2 4 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 C o l u m n s \ N o m b r e   d e   P l a n / P a q u e t e < / K e y > < / a : K e y > < a : V a l u e   i : t y p e = " T a b l e W i d g e t B a s e V i e w S t a t e " / > < / a : K e y V a l u e O f D i a g r a m O b j e c t K e y a n y T y p e z b w N T n L X > < a : K e y V a l u e O f D i a g r a m O b j e c t K e y a n y T y p e z b w N T n L X > < a : K e y > < K e y > C o l u m n s \ T i p o * < / K e y > < / a : K e y > < a : V a l u e   i : t y p e = " T a b l e W i d g e t B a s e V i e w S t a t e " / > < / a : K e y V a l u e O f D i a g r a m O b j e c t K e y a n y T y p e z b w N T n L X > < a : K e y V a l u e O f D i a g r a m O b j e c t K e y a n y T y p e z b w N T n L X > < a : K e y > < K e y > C o l u m n s \ T i p o   d e   p a q u e t e   c o n s i d e r a n d o   S T A R   ( s e r v i c i o s   i n c l u i d o s ) * < / K e y > < / a : K e y > < a : V a l u e   i : t y p e = " T a b l e W i d g e t B a s e V i e w S t a t e " / > < / a : K e y V a l u e O f D i a g r a m O b j e c t K e y a n y T y p e z b w N T n L X > < a : K e y V a l u e O f D i a g r a m O b j e c t K e y a n y T y p e z b w N T n L X > < a : K e y > < K e y > C o l u m n s \ E s q u e m a * < / K e y > < / a : K e y > < a : V a l u e   i : t y p e = " T a b l e W i d g e t B a s e V i e w S t a t e " / > < / a : K e y V a l u e O f D i a g r a m O b j e c t K e y a n y T y p e z b w N T n L X > < a : K e y V a l u e O f D i a g r a m O b j e c t K e y a n y T y p e z b w N T n L X > < a : K e y > < K e y > C o l u m n s \ P e r i o d o   d e   p a g o < / K e y > < / a : K e y > < a : V a l u e   i : t y p e = " T a b l e W i d g e t B a s e V i e w S t a t e " / > < / a : K e y V a l u e O f D i a g r a m O b j e c t K e y a n y T y p e z b w N T n L X > < a : K e y V a l u e O f D i a g r a m O b j e c t K e y a n y T y p e z b w N T n L X > < a : K e y > < K e y > C o l u m n s \ E s t a d o < / 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 C o l u m n s \ L o c a l i d a d < / K e y > < / a : K e y > < a : V a l u e   i : t y p e = " T a b l e W i d g e t B a s e V i e w S t a t e " / > < / a : K e y V a l u e O f D i a g r a m O b j e c t K e y a n y T y p e z b w N T n L X > < a : K e y V a l u e O f D i a g r a m O b j e c t K e y a n y T y p e z b w N T n L X > < a : K e y > < K e y > C o l u m n s \ F o l i o   R P C < / K e y > < / a : K e y > < a : V a l u e   i : t y p e = " T a b l e W i d g e t B a s e V i e w S t a t e " / > < / a : K e y V a l u e O f D i a g r a m O b j e c t K e y a n y T y p e z b w N T n L X > < a : K e y V a l u e O f D i a g r a m O b j e c t K e y a n y T y p e z b w N T n L X > < a : K e y > < K e y > C o l u m n s \ R e n t a   m e n s u a l   ( s i n   i m p u e s t o s ) < / K e y > < / a : K e y > < a : V a l u e   i : t y p e = " T a b l e W i d g e t B a s e V i e w S t a t e " / > < / a : K e y V a l u e O f D i a g r a m O b j e c t K e y a n y T y p e z b w N T n L X > < a : K e y V a l u e O f D i a g r a m O b j e c t K e y a n y T y p e z b w N T n L X > < a : K e y > < K e y > C o l u m n s \ R e n t a   m e n s u a l     ( c o n   i m p u e s t o s ) < / K e y > < / a : K e y > < a : V a l u e   i : t y p e = " T a b l e W i d g e t B a s e V i e w S t a t e " / > < / a : K e y V a l u e O f D i a g r a m O b j e c t K e y a n y T y p e z b w N T n L X > < a : K e y V a l u e O f D i a g r a m O b j e c t K e y a n y T y p e z b w N T n L X > < a : K e y > < K e y > C o l u m n s \ � T i e n e   p r o m o c i o n e s   a s o c i a d a s   a l   p a q u e t e   q u e   a j u s t e n   l a   t a r i f a   d e   l a   r e n t a   m e n s u a l ?   ( S i / N o ) < / K e y > < / a : K e y > < a : V a l u e   i : t y p e = " T a b l e W i d g e t B a s e V i e w S t a t e " / > < / a : K e y V a l u e O f D i a g r a m O b j e c t K e y a n y T y p e z b w N T n L X > < a : K e y V a l u e O f D i a g r a m O b j e c t K e y a n y T y p e z b w N T n L X > < a : K e y > < K e y > C o l u m n s \ P r o m o c i � n   d e   " D e s c u e n t o   d e   s u   m e n s u a l i d a d "   p o r   u n   p e r i o d o   e s p e c � f i c o < / K e y > < / a : K e y > < a : V a l u e   i : t y p e = " T a b l e W i d g e t B a s e V i e w S t a t e " / > < / a : K e y V a l u e O f D i a g r a m O b j e c t K e y a n y T y p e z b w N T n L X > < a : K e y V a l u e O f D i a g r a m O b j e c t K e y a n y T y p e z b w N T n L X > < a : K e y > < K e y > C o l u m n s \ R e n t a   m e n u s u a l   c o n   t a r i f a   p r o m o c i o n a l   ( s i n   i m p u e s t o s ) < / K e y > < / a : K e y > < a : V a l u e   i : t y p e = " T a b l e W i d g e t B a s e V i e w S t a t e " / > < / a : K e y V a l u e O f D i a g r a m O b j e c t K e y a n y T y p e z b w N T n L X > < a : K e y V a l u e O f D i a g r a m O b j e c t K e y a n y T y p e z b w N T n L X > < a : K e y > < K e y > C o l u m n s \ D u r a c i � n   d e   l a   p r o m o c i � n   ( e n   m e s e s ) < / K e y > < / a : K e y > < a : V a l u e   i : t y p e = " T a b l e W i d g e t B a s e V i e w S t a t e " / > < / a : K e y V a l u e O f D i a g r a m O b j e c t K e y a n y T y p e z b w N T n L X > < a : K e y V a l u e O f D i a g r a m O b j e c t K e y a n y T y p e z b w N T n L X > < a : K e y > < K e y > C o l u m n s \ T � r m i n o s   y   c o n d i c i o n e s < / K e y > < / a : K e y > < a : V a l u e   i : t y p e = " T a b l e W i d g e t B a s e V i e w S t a t e " / > < / a : K e y V a l u e O f D i a g r a m O b j e c t K e y a n y T y p e z b w N T n L X > < a : K e y V a l u e O f D i a g r a m O b j e c t K e y a n y T y p e z b w N T n L X > < a : K e y > < K e y > C o l u m n s \ P r o m o c i � n   p o r   " D o m i c i l i a c i � n "   d e   l a   r e n t a   m e n s u a l < / K e y > < / a : K e y > < a : V a l u e   i : t y p e = " T a b l e W i d g e t B a s e V i e w S t a t e " / > < / a : K e y V a l u e O f D i a g r a m O b j e c t K e y a n y T y p e z b w N T n L X > < a : K e y V a l u e O f D i a g r a m O b j e c t K e y a n y T y p e z b w N T n L X > < a : K e y > < K e y > C o l u m n s \ R e n t a   m e n u s u a l   c o n   t a r i f a   p r o m o c i o n a l   ( s i n   i m p u e s t o s ) 2 < / K e y > < / a : K e y > < a : V a l u e   i : t y p e = " T a b l e W i d g e t B a s e V i e w S t a t e " / > < / a : K e y V a l u e O f D i a g r a m O b j e c t K e y a n y T y p e z b w N T n L X > < a : K e y V a l u e O f D i a g r a m O b j e c t K e y a n y T y p e z b w N T n L X > < a : K e y > < K e y > C o l u m n s \ D u r a c i � n   d e   l a   p r o m o c i � n   ( e n   m e s e s ) 3 < / K e y > < / a : K e y > < a : V a l u e   i : t y p e = " T a b l e W i d g e t B a s e V i e w S t a t e " / > < / a : K e y V a l u e O f D i a g r a m O b j e c t K e y a n y T y p e z b w N T n L X > < a : K e y V a l u e O f D i a g r a m O b j e c t K e y a n y T y p e z b w N T n L X > < a : K e y > < K e y > C o l u m n s \ T � r m i n o s   y   c o n d i c i o n e s 4 < / K e y > < / a : K e y > < a : V a l u e   i : t y p e = " T a b l e W i d g e t B a s e V i e w S t a t e " / > < / a : K e y V a l u e O f D i a g r a m O b j e c t K e y a n y T y p e z b w N T n L X > < a : K e y V a l u e O f D i a g r a m O b j e c t K e y a n y T y p e z b w N T n L X > < a : K e y > < K e y > C o l u m n s \ P r o m o c i � n   p o r   " A n u a l i d a d " < / K e y > < / a : K e y > < a : V a l u e   i : t y p e = " T a b l e W i d g e t B a s e V i e w S t a t e " / > < / a : K e y V a l u e O f D i a g r a m O b j e c t K e y a n y T y p e z b w N T n L X > < a : K e y V a l u e O f D i a g r a m O b j e c t K e y a n y T y p e z b w N T n L X > < a : K e y > < K e y > C o l u m n s \ R e n t a   m e n u s u a l   c o n   t a r i f a   p r o m o c i o n a l   ( s i n   i m p u e s t o s ) 5 < / K e y > < / a : K e y > < a : V a l u e   i : t y p e = " T a b l e W i d g e t B a s e V i e w S t a t e " / > < / a : K e y V a l u e O f D i a g r a m O b j e c t K e y a n y T y p e z b w N T n L X > < a : K e y V a l u e O f D i a g r a m O b j e c t K e y a n y T y p e z b w N T n L X > < a : K e y > < K e y > C o l u m n s \ D u r a c i � n   d e   l a   p r o m o c i � n   ( e n   m e s e s ) 6 < / K e y > < / a : K e y > < a : V a l u e   i : t y p e = " T a b l e W i d g e t B a s e V i e w S t a t e " / > < / a : K e y V a l u e O f D i a g r a m O b j e c t K e y a n y T y p e z b w N T n L X > < a : K e y V a l u e O f D i a g r a m O b j e c t K e y a n y T y p e z b w N T n L X > < a : K e y > < K e y > C o l u m n s \ T � r m i n o s   y   c o n d i c i o n e s 7 < / K e y > < / a : K e y > < a : V a l u e   i : t y p e = " T a b l e W i d g e t B a s e V i e w S t a t e " / > < / a : K e y V a l u e O f D i a g r a m O b j e c t K e y a n y T y p e z b w N T n L X > < a : K e y V a l u e O f D i a g r a m O b j e c t K e y a n y T y p e z b w N T n L X > < a : K e y > < K e y > C o l u m n s \ P r o m o c i � n   p o r   " C l i e n t e   a c t u a l   d e   T V " < / K e y > < / a : K e y > < a : V a l u e   i : t y p e = " T a b l e W i d g e t B a s e V i e w S t a t e " / > < / a : K e y V a l u e O f D i a g r a m O b j e c t K e y a n y T y p e z b w N T n L X > < a : K e y V a l u e O f D i a g r a m O b j e c t K e y a n y T y p e z b w N T n L X > < a : K e y > < K e y > C o l u m n s \ R e n t a   m e n u s u a l   c o n   t a r i f a   p r o m o c i o n a l   ( s i n   i m p u e s t o s ) 8 < / K e y > < / a : K e y > < a : V a l u e   i : t y p e = " T a b l e W i d g e t B a s e V i e w S t a t e " / > < / a : K e y V a l u e O f D i a g r a m O b j e c t K e y a n y T y p e z b w N T n L X > < a : K e y V a l u e O f D i a g r a m O b j e c t K e y a n y T y p e z b w N T n L X > < a : K e y > < K e y > C o l u m n s \ D u r a c i � n   d e   l a   p r o m o c i � n   ( e n   m e s e s ) 9 < / K e y > < / a : K e y > < a : V a l u e   i : t y p e = " T a b l e W i d g e t B a s e V i e w S t a t e " / > < / a : K e y V a l u e O f D i a g r a m O b j e c t K e y a n y T y p e z b w N T n L X > < a : K e y V a l u e O f D i a g r a m O b j e c t K e y a n y T y p e z b w N T n L X > < a : K e y > < K e y > C o l u m n s \ T � r m i n o s   y   c o n d i c i o n e s 1 0 < / K e y > < / a : K e y > < a : V a l u e   i : t y p e = " T a b l e W i d g e t B a s e V i e w S t a t e " / > < / a : K e y V a l u e O f D i a g r a m O b j e c t K e y a n y T y p e z b w N T n L X > < a : K e y V a l u e O f D i a g r a m O b j e c t K e y a n y T y p e z b w N T n L X > < a : K e y > < K e y > C o l u m n s \ � C u e n t a   c o n   i n c e n t i v o s   p r o m o c i o n a l e s   p o r   l a   c o n t r a t a c i � n   d e   a l g � n   s e r v i c i o   O T T   q u e   a j u s t e   e l   m o n t o   d < / K e y > < / a : K e y > < a : V a l u e   i : t y p e = " T a b l e W i d g e t B a s e V i e w S t a t e " / > < / a : K e y V a l u e O f D i a g r a m O b j e c t K e y a n y T y p e z b w N T n L X > < a : K e y V a l u e O f D i a g r a m O b j e c t K e y a n y T y p e z b w N T n L X > < a : K e y > < K e y > C o l u m n s \ T a r i f a   N e t f l i x   E s t � n d a r   c o n   a n u n c i o s   ( s i n   i m p u e s t o s ) < / K e y > < / a : K e y > < a : V a l u e   i : t y p e = " T a b l e W i d g e t B a s e V i e w S t a t e " / > < / a : K e y V a l u e O f D i a g r a m O b j e c t K e y a n y T y p e z b w N T n L X > < a : K e y V a l u e O f D i a g r a m O b j e c t K e y a n y T y p e z b w N T n L X > < a : K e y > < K e y > C o l u m n s \ R e n t a   m e n u s u a l   p r o m o c i o n a l   p o r   l a   c o n t r a t a c i � n   d e l   N e t f l i x   E s t � n d a r   c o n   a n u n c i o s   ( s i n   i m p u e s t o s ) < / K e y > < / a : K e y > < a : V a l u e   i : t y p e = " T a b l e W i d g e t B a s e V i e w S t a t e " / > < / a : K e y V a l u e O f D i a g r a m O b j e c t K e y a n y T y p e z b w N T n L X > < a : K e y V a l u e O f D i a g r a m O b j e c t K e y a n y T y p e z b w N T n L X > < a : K e y > < K e y > C o l u m n s \ T � r m i n o s   y   c o n d i c i o n e s 1 1 < / K e y > < / a : K e y > < a : V a l u e   i : t y p e = " T a b l e W i d g e t B a s e V i e w S t a t e " / > < / a : K e y V a l u e O f D i a g r a m O b j e c t K e y a n y T y p e z b w N T n L X > < a : K e y V a l u e O f D i a g r a m O b j e c t K e y a n y T y p e z b w N T n L X > < a : K e y > < K e y > C o l u m n s \ T a r i f a   N e t f l i x   E s t � n d a r   ( s i n   i m p u e s t o s ) < / K e y > < / a : K e y > < a : V a l u e   i : t y p e = " T a b l e W i d g e t B a s e V i e w S t a t e " / > < / a : K e y V a l u e O f D i a g r a m O b j e c t K e y a n y T y p e z b w N T n L X > < a : K e y V a l u e O f D i a g r a m O b j e c t K e y a n y T y p e z b w N T n L X > < a : K e y > < K e y > C o l u m n s \ R e n t a   m e n u s u a l   p r o m o c i o n a l   p o r   l a   c o n t r a t a c i � n   d e l   N e t f l i x   E s t � n d a r   ( s i n   i m p u e s t o s ) < / K e y > < / a : K e y > < a : V a l u e   i : t y p e = " T a b l e W i d g e t B a s e V i e w S t a t e " / > < / a : K e y V a l u e O f D i a g r a m O b j e c t K e y a n y T y p e z b w N T n L X > < a : K e y V a l u e O f D i a g r a m O b j e c t K e y a n y T y p e z b w N T n L X > < a : K e y > < K e y > C o l u m n s \ T � r m i n o s   y   c o n d i c i o n e s 1 2 < / K e y > < / a : K e y > < a : V a l u e   i : t y p e = " T a b l e W i d g e t B a s e V i e w S t a t e " / > < / a : K e y V a l u e O f D i a g r a m O b j e c t K e y a n y T y p e z b w N T n L X > < a : K e y V a l u e O f D i a g r a m O b j e c t K e y a n y T y p e z b w N T n L X > < a : K e y > < K e y > C o l u m n s \ T a r i f a   N e t f l i x   P r e m i u m   ( s i n   i m p u e s t o s ) < / K e y > < / a : K e y > < a : V a l u e   i : t y p e = " T a b l e W i d g e t B a s e V i e w S t a t e " / > < / a : K e y V a l u e O f D i a g r a m O b j e c t K e y a n y T y p e z b w N T n L X > < a : K e y V a l u e O f D i a g r a m O b j e c t K e y a n y T y p e z b w N T n L X > < a : K e y > < K e y > C o l u m n s \ R e n t a   m e n u s u a l   p r o m o c i o n a l   p o r   l a   c o n t r a t a c i � n   d e l   N e t f l i x   P r e m i u m   ( s i n   i m p u e s t o s ) < / K e y > < / a : K e y > < a : V a l u e   i : t y p e = " T a b l e W i d g e t B a s e V i e w S t a t e " / > < / a : K e y V a l u e O f D i a g r a m O b j e c t K e y a n y T y p e z b w N T n L X > < a : K e y V a l u e O f D i a g r a m O b j e c t K e y a n y T y p e z b w N T n L X > < a : K e y > < K e y > C o l u m n s \ T � r m i n o s   y   c o n d i c i o n e s 1 3 < / K e y > < / a : K e y > < a : V a l u e   i : t y p e = " T a b l e W i d g e t B a s e V i e w S t a t e " / > < / a : K e y V a l u e O f D i a g r a m O b j e c t K e y a n y T y p e z b w N T n L X > < a : K e y V a l u e O f D i a g r a m O b j e c t K e y a n y T y p e z b w N T n L X > < a : K e y > < K e y > C o l u m n s \ T a r i f a   A m a z o n   P r i m e   ( s i n   i m p u e s t o s ) < / K e y > < / a : K e y > < a : V a l u e   i : t y p e = " T a b l e W i d g e t B a s e V i e w S t a t e " / > < / a : K e y V a l u e O f D i a g r a m O b j e c t K e y a n y T y p e z b w N T n L X > < a : K e y V a l u e O f D i a g r a m O b j e c t K e y a n y T y p e z b w N T n L X > < a : K e y > < K e y > C o l u m n s \ R e n t a   m e n u s u a l   p r o m o c i o n a l   p o r   l a   c o n t r a t a c i � n   P r i m e   V i d e o   ( s i n   i m p u e s t o s ) < / K e y > < / a : K e y > < a : V a l u e   i : t y p e = " T a b l e W i d g e t B a s e V i e w S t a t e " / > < / a : K e y V a l u e O f D i a g r a m O b j e c t K e y a n y T y p e z b w N T n L X > < a : K e y V a l u e O f D i a g r a m O b j e c t K e y a n y T y p e z b w N T n L X > < a : K e y > < K e y > C o l u m n s \ T � r m i n o s   y   c o n d i c i o n e s 1 4 < / K e y > < / a : K e y > < a : V a l u e   i : t y p e = " T a b l e W i d g e t B a s e V i e w S t a t e " / > < / a : K e y V a l u e O f D i a g r a m O b j e c t K e y a n y T y p e z b w N T n L X > < a : K e y V a l u e O f D i a g r a m O b j e c t K e y a n y T y p e z b w N T n L X > < a : K e y > < K e y > C o l u m n s \ T a r i f a   m a x     ( s i n   i m p u e s t o s ) < / K e y > < / a : K e y > < a : V a l u e   i : t y p e = " T a b l e W i d g e t B a s e V i e w S t a t e " / > < / a : K e y V a l u e O f D i a g r a m O b j e c t K e y a n y T y p e z b w N T n L X > < a : K e y V a l u e O f D i a g r a m O b j e c t K e y a n y T y p e z b w N T n L X > < a : K e y > < K e y > C o l u m n s \ R e n t a   m e n u s u a l   p r o m o c i o n a l   p o r   l a   c o n t r a t a c i � n   m a x     ( s i n   i m p u e s t o s ) < / K e y > < / a : K e y > < a : V a l u e   i : t y p e = " T a b l e W i d g e t B a s e V i e w S t a t e " / > < / a : K e y V a l u e O f D i a g r a m O b j e c t K e y a n y T y p e z b w N T n L X > < a : K e y V a l u e O f D i a g r a m O b j e c t K e y a n y T y p e z b w N T n L X > < a : K e y > < K e y > C o l u m n s \ T � r m i n o s   y   c o n d i c i o n e s 1 5 < / K e y > < / a : K e y > < a : V a l u e   i : t y p e = " T a b l e W i d g e t B a s e V i e w S t a t e " / > < / a : K e y V a l u e O f D i a g r a m O b j e c t K e y a n y T y p e z b w N T n L X > < a : K e y V a l u e O f D i a g r a m O b j e c t K e y a n y T y p e z b w N T n L X > < a : K e y > < K e y > C o l u m n s \ T a r i f a   P a r a m o u n t   +   ( s i n   i m p u e s t o s ) < / K e y > < / a : K e y > < a : V a l u e   i : t y p e = " T a b l e W i d g e t B a s e V i e w S t a t e " / > < / a : K e y V a l u e O f D i a g r a m O b j e c t K e y a n y T y p e z b w N T n L X > < a : K e y V a l u e O f D i a g r a m O b j e c t K e y a n y T y p e z b w N T n L X > < a : K e y > < K e y > C o l u m n s \ R e n t a   m e n u s u a l   p r o m o c i o n a l   p o r   l a   c o n t r a t a c i � n   P a r a m o u n t   +   ( s i n   i m p u e s t o s ) < / K e y > < / a : K e y > < a : V a l u e   i : t y p e = " T a b l e W i d g e t B a s e V i e w S t a t e " / > < / a : K e y V a l u e O f D i a g r a m O b j e c t K e y a n y T y p e z b w N T n L X > < a : K e y V a l u e O f D i a g r a m O b j e c t K e y a n y T y p e z b w N T n L X > < a : K e y > < K e y > C o l u m n s \ T � r m i n o s   y   c o n d i c i o n e s 1 6 < / K e y > < / a : K e y > < a : V a l u e   i : t y p e = " T a b l e W i d g e t B a s e V i e w S t a t e " / > < / a : K e y V a l u e O f D i a g r a m O b j e c t K e y a n y T y p e z b w N T n L X > < a : K e y V a l u e O f D i a g r a m O b j e c t K e y a n y T y p e z b w N T n L X > < a : K e y > < K e y > C o l u m n s \ T a r i f a   D i s n e y   +     ( s i n   i m p u e s t o s ) < / K e y > < / a : K e y > < a : V a l u e   i : t y p e = " T a b l e W i d g e t B a s e V i e w S t a t e " / > < / a : K e y V a l u e O f D i a g r a m O b j e c t K e y a n y T y p e z b w N T n L X > < a : K e y V a l u e O f D i a g r a m O b j e c t K e y a n y T y p e z b w N T n L X > < a : K e y > < K e y > C o l u m n s \ R e n t a   m e n u s u a l   p r o m o c i o n a l   p o r   l a   c o n t r a t a c i � n   D i s n e y   +     ( s i n   i m p u e s t o s ) < / K e y > < / a : K e y > < a : V a l u e   i : t y p e = " T a b l e W i d g e t B a s e V i e w S t a t e " / > < / a : K e y V a l u e O f D i a g r a m O b j e c t K e y a n y T y p e z b w N T n L X > < a : K e y V a l u e O f D i a g r a m O b j e c t K e y a n y T y p e z b w N T n L X > < a : K e y > < K e y > C o l u m n s \ T � r m i n o s   y   c o n d i c i o n e s 1 7 < / K e y > < / a : K e y > < a : V a l u e   i : t y p e = " T a b l e W i d g e t B a s e V i e w S t a t e " / > < / a : K e y V a l u e O f D i a g r a m O b j e c t K e y a n y T y p e z b w N T n L X > < a : K e y V a l u e O f D i a g r a m O b j e c t K e y a n y T y p e z b w N T n L X > < a : K e y > < K e y > C o l u m n s \ T a r i f a   S t a r   +     ( s i n   i m p u e s t o s ) < / K e y > < / a : K e y > < a : V a l u e   i : t y p e = " T a b l e W i d g e t B a s e V i e w S t a t e " / > < / a : K e y V a l u e O f D i a g r a m O b j e c t K e y a n y T y p e z b w N T n L X > < a : K e y V a l u e O f D i a g r a m O b j e c t K e y a n y T y p e z b w N T n L X > < a : K e y > < K e y > C o l u m n s \ R e n t a   m e n u s u a l   p r o m o c i o n a l   p o r   l a   c o n t r a t a c i � n   S t a r   +     ( s i n   i m p u e s t o s ) < / K e y > < / a : K e y > < a : V a l u e   i : t y p e = " T a b l e W i d g e t B a s e V i e w S t a t e " / > < / a : K e y V a l u e O f D i a g r a m O b j e c t K e y a n y T y p e z b w N T n L X > < a : K e y V a l u e O f D i a g r a m O b j e c t K e y a n y T y p e z b w N T n L X > < a : K e y > < K e y > C o l u m n s \ T � r m i n o s   y   c o n d i c i o n e s 1 8 < / K e y > < / a : K e y > < a : V a l u e   i : t y p e = " T a b l e W i d g e t B a s e V i e w S t a t e " / > < / a : K e y V a l u e O f D i a g r a m O b j e c t K e y a n y T y p e z b w N T n L X > < a : K e y V a l u e O f D i a g r a m O b j e c t K e y a n y T y p e z b w N T n L X > < a : K e y > < K e y > C o l u m n s \ T a r i f a   C o m b o   +   ( s i n   i m p u e s t o s ) < / K e y > < / a : K e y > < a : V a l u e   i : t y p e = " T a b l e W i d g e t B a s e V i e w S t a t e " / > < / a : K e y V a l u e O f D i a g r a m O b j e c t K e y a n y T y p e z b w N T n L X > < a : K e y V a l u e O f D i a g r a m O b j e c t K e y a n y T y p e z b w N T n L X > < a : K e y > < K e y > C o l u m n s \ R e n t a   m e n u s u a l   p r o m o c i o n a l   p o r   l a   c o n t r a t a c i � n   C o m b o   ( s i n   i m p u e s t o s ) < / K e y > < / a : K e y > < a : V a l u e   i : t y p e = " T a b l e W i d g e t B a s e V i e w S t a t e " / > < / a : K e y V a l u e O f D i a g r a m O b j e c t K e y a n y T y p e z b w N T n L X > < a : K e y V a l u e O f D i a g r a m O b j e c t K e y a n y T y p e z b w N T n L X > < a : K e y > < K e y > C o l u m n s \ T � r m i n o s   y   c o n d i c i o n e s 1 9 < / K e y > < / a : K e y > < a : V a l u e   i : t y p e = " T a b l e W i d g e t B a s e V i e w S t a t e " / > < / a : K e y V a l u e O f D i a g r a m O b j e c t K e y a n y T y p e z b w N T n L X > < a : K e y V a l u e O f D i a g r a m O b j e c t K e y a n y T y p e z b w N T n L X > < a : K e y > < K e y > C o l u m n s \ T a r i f a   F o x   S p o r t   P r e m i u m     ( s i n   i m p u e s t o s ) < / K e y > < / a : K e y > < a : V a l u e   i : t y p e = " T a b l e W i d g e t B a s e V i e w S t a t e " / > < / a : K e y V a l u e O f D i a g r a m O b j e c t K e y a n y T y p e z b w N T n L X > < a : K e y V a l u e O f D i a g r a m O b j e c t K e y a n y T y p e z b w N T n L X > < a : K e y > < K e y > C o l u m n s \ R e n t a   m e n u s u a l   p r o m o c i o n a l   p o r   l a   c o n t r a t a c i � n   F o x   S p o r t   P r e m i u m   ( s i n   i m p u e s t o s ) < / K e y > < / a : K e y > < a : V a l u e   i : t y p e = " T a b l e W i d g e t B a s e V i e w S t a t e " / > < / a : K e y V a l u e O f D i a g r a m O b j e c t K e y a n y T y p e z b w N T n L X > < a : K e y V a l u e O f D i a g r a m O b j e c t K e y a n y T y p e z b w N T n L X > < a : K e y > < K e y > C o l u m n s \ T � r m i n o s   y   c o n d i c i o n e s 2 0 < / 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 C a n a s t a 2 0 2 4 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 C a n a s t a 2 0 2 4 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 C o l u m n s \ N o m b r e   d e   P l a n / P a q u e t e < / K e y > < / a : K e y > < a : V a l u e   i : t y p e = " T a b l e W i d g e t B a s e V i e w S t a t e " / > < / a : K e y V a l u e O f D i a g r a m O b j e c t K e y a n y T y p e z b w N T n L X > < a : K e y V a l u e O f D i a g r a m O b j e c t K e y a n y T y p e z b w N T n L X > < a : K e y > < K e y > C o l u m n s \ T i p o * < / K e y > < / a : K e y > < a : V a l u e   i : t y p e = " T a b l e W i d g e t B a s e V i e w S t a t e " / > < / a : K e y V a l u e O f D i a g r a m O b j e c t K e y a n y T y p e z b w N T n L X > < a : K e y V a l u e O f D i a g r a m O b j e c t K e y a n y T y p e z b w N T n L X > < a : K e y > < K e y > C o l u m n s \ T i p o   d e   p a q u e t e   c o n s i d e r a n d o   S T A R   ( s e r v i c i o s   i n c l u i d o s ) * < / K e y > < / a : K e y > < a : V a l u e   i : t y p e = " T a b l e W i d g e t B a s e V i e w S t a t e " / > < / a : K e y V a l u e O f D i a g r a m O b j e c t K e y a n y T y p e z b w N T n L X > < a : K e y V a l u e O f D i a g r a m O b j e c t K e y a n y T y p e z b w N T n L X > < a : K e y > < K e y > C o l u m n s \ E s t a d o < / 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 C o l u m n s \ L o c a l i d a d < / K e y > < / a : K e y > < a : V a l u e   i : t y p e = " T a b l e W i d g e t B a s e V i e w S t a t e " / > < / a : K e y V a l u e O f D i a g r a m O b j e c t K e y a n y T y p e z b w N T n L X > < a : K e y V a l u e O f D i a g r a m O b j e c t K e y a n y T y p e z b w N T n L X > < a : K e y > < K e y > C o l u m n s \ F o l i o   R P C < / K e y > < / a : K e y > < a : V a l u e   i : t y p e = " T a b l e W i d g e t B a s e V i e w S t a t e " / > < / a : K e y V a l u e O f D i a g r a m O b j e c t K e y a n y T y p e z b w N T n L X > < a : K e y V a l u e O f D i a g r a m O b j e c t K e y a n y T y p e z b w N T n L X > < a : K e y > < K e y > C o l u m n s \ R e n t a   m e n s u a l     ( s i n   i m p u e s t o s ) < / K e y > < / a : K e y > < a : V a l u e   i : t y p e = " T a b l e W i d g e t B a s e V i e w S t a t e " / > < / a : K e y V a l u e O f D i a g r a m O b j e c t K e y a n y T y p e z b w N T n L X > < a : K e y V a l u e O f D i a g r a m O b j e c t K e y a n y T y p e z b w N T n L X > < a : K e y > < K e y > C o l u m n s \ R e n t a   m e n s u a l     ( c o n   i m p u e s t o s ) < / K e y > < / a : K e y > < a : V a l u e   i : t y p e = " T a b l e W i d g e t B a s e V i e w S t a t e " / > < / a : K e y V a l u e O f D i a g r a m O b j e c t K e y a n y T y p e z b w N T n L X > < a : K e y V a l u e O f D i a g r a m O b j e c t K e y a n y T y p e z b w N T n L X > < a : K e y > < K e y > C o l u m n s \ C a n t i d a d   d e   T V   i n c l u i d a s < / K e y > < / a : K e y > < a : V a l u e   i : t y p e = " T a b l e W i d g e t B a s e V i e w S t a t e " / > < / a : K e y V a l u e O f D i a g r a m O b j e c t K e y a n y T y p e z b w N T n L X > < a : K e y V a l u e O f D i a g r a m O b j e c t K e y a n y T y p e z b w N T n L X > < a : K e y > < K e y > C o l u m n s \ E n t r e t e n i m i e n t o < / K e y > < / a : K e y > < a : V a l u e   i : t y p e = " T a b l e W i d g e t B a s e V i e w S t a t e " / > < / a : K e y V a l u e O f D i a g r a m O b j e c t K e y a n y T y p e z b w N T n L X > < a : K e y V a l u e O f D i a g r a m O b j e c t K e y a n y T y p e z b w N T n L X > < a : K e y > < K e y > C o l u m n s \ M � s i c a < / K e y > < / a : K e y > < a : V a l u e   i : t y p e = " T a b l e W i d g e t B a s e V i e w S t a t e " / > < / a : K e y V a l u e O f D i a g r a m O b j e c t K e y a n y T y p e z b w N T n L X > < a : K e y V a l u e O f D i a g r a m O b j e c t K e y a n y T y p e z b w N T n L X > < a : K e y > < K e y > C o l u m n s \ N i � o s / F a m i l i a r < / K e y > < / a : K e y > < a : V a l u e   i : t y p e = " T a b l e W i d g e t B a s e V i e w S t a t e " / > < / a : K e y V a l u e O f D i a g r a m O b j e c t K e y a n y T y p e z b w N T n L X > < a : K e y V a l u e O f D i a g r a m O b j e c t K e y a n y T y p e z b w N T n L X > < a : K e y > < K e y > C o l u m n s \ D o c u m e n t a l e s   /   C u l t u r a l e s < / K e y > < / a : K e y > < a : V a l u e   i : t y p e = " T a b l e W i d g e t B a s e V i e w S t a t e " / > < / a : K e y V a l u e O f D i a g r a m O b j e c t K e y a n y T y p e z b w N T n L X > < a : K e y V a l u e O f D i a g r a m O b j e c t K e y a n y T y p e z b w N T n L X > < a : K e y > < K e y > C o l u m n s \ N a c i o n a l e s < / K e y > < / a : K e y > < a : V a l u e   i : t y p e = " T a b l e W i d g e t B a s e V i e w S t a t e " / > < / a : K e y V a l u e O f D i a g r a m O b j e c t K e y a n y T y p e z b w N T n L X > < a : K e y V a l u e O f D i a g r a m O b j e c t K e y a n y T y p e z b w N T n L X > < a : K e y > < K e y > C o l u m n s \ I n t e r n a c i o n a l e s < / K e y > < / a : K e y > < a : V a l u e   i : t y p e = " T a b l e W i d g e t B a s e V i e w S t a t e " / > < / a : K e y V a l u e O f D i a g r a m O b j e c t K e y a n y T y p e z b w N T n L X > < a : K e y V a l u e O f D i a g r a m O b j e c t K e y a n y T y p e z b w N T n L X > < a : K e y > < K e y > C o l u m n s \ D e p o r t e s < / K e y > < / a : K e y > < a : V a l u e   i : t y p e = " T a b l e W i d g e t B a s e V i e w S t a t e " / > < / a : K e y V a l u e O f D i a g r a m O b j e c t K e y a n y T y p e z b w N T n L X > < a : K e y V a l u e O f D i a g r a m O b j e c t K e y a n y T y p e z b w N T n L X > < a : K e y > < K e y > C o l u m n s \ P e l � c u l a s < / K e y > < / a : K e y > < a : V a l u e   i : t y p e = " T a b l e W i d g e t B a s e V i e w S t a t e " / > < / a : K e y V a l u e O f D i a g r a m O b j e c t K e y a n y T y p e z b w N T n L X > < a : K e y V a l u e O f D i a g r a m O b j e c t K e y a n y T y p e z b w N T n L X > < a : K e y > < K e y > C o l u m n s \ N � m e r o   d e   c a n a l e s   c o n   a l t a   d e f i n i c i � n   ( H D ) < / K e y > < / a : K e y > < a : V a l u e   i : t y p e = " T a b l e W i d g e t B a s e V i e w S t a t e " / > < / a : K e y V a l u e O f D i a g r a m O b j e c t K e y a n y T y p e z b w N T n L X > < a : K e y V a l u e O f D i a g r a m O b j e c t K e y a n y T y p e z b w N T n L X > < a : K e y > < K e y > C o l u m n s \ N � m e r o   d e   c a n a l e s   " S o l o   A u d i o " < / K e y > < / a : K e y > < a : V a l u e   i : t y p e = " T a b l e W i d g e t B a s e V i e w S t a t e " / > < / a : K e y V a l u e O f D i a g r a m O b j e c t K e y a n y T y p e z b w N T n L X > < a : K e y V a l u e O f D i a g r a m O b j e c t K e y a n y T y p e z b w N T n L X > < a : K e y > < K e y > C o l u m n s \ m a x < / K e y > < / a : K e y > < a : V a l u e   i : t y p e = " T a b l e W i d g e t B a s e V i e w S t a t e " / > < / a : K e y V a l u e O f D i a g r a m O b j e c t K e y a n y T y p e z b w N T n L X > < a : K e y V a l u e O f D i a g r a m O b j e c t K e y a n y T y p e z b w N T n L X > < a : K e y > < K e y > C o l u m n s \ p a r a m o u n t   + < / K e y > < / a : K e y > < a : V a l u e   i : t y p e = " T a b l e W i d g e t B a s e V i e w S t a t e " / > < / a : K e y V a l u e O f D i a g r a m O b j e c t K e y a n y T y p e z b w N T n L X > < a : K e y V a l u e O f D i a g r a m O b j e c t K e y a n y T y p e z b w N T n L X > < a : K e y > < K e y > C o l u m n s \ F o x   S p o r t   P r e m i u m < / K e y > < / a : K e y > < a : V a l u e   i : t y p e = " T a b l e W i d g e t B a s e V i e w S t a t e " / > < / a : K e y V a l u e O f D i a g r a m O b j e c t K e y a n y T y p e z b w N T n L X > < a : K e y V a l u e O f D i a g r a m O b j e c t K e y a n y T y p e z b w N T n L X > < a : K e y > < K e y > C o l u m n s \ M L B < / K e y > < / a : K e y > < a : V a l u e   i : t y p e = " T a b l e W i d g e t B a s e V i e w S t a t e " / > < / a : K e y V a l u e O f D i a g r a m O b j e c t K e y a n y T y p e z b w N T n L X > < a : K e y V a l u e O f D i a g r a m O b j e c t K e y a n y T y p e z b w N T n L X > < a : K e y > < K e y > C o l u m n s \ N B A   L e a g u e   P a s s < / K e y > < / a : K e y > < a : V a l u e   i : t y p e = " T a b l e W i d g e t B a s e V i e w S t a t e " / > < / a : K e y V a l u e O f D i a g r a m O b j e c t K e y a n y T y p e z b w N T n L X > < a : K e y V a l u e O f D i a g r a m O b j e c t K e y a n y T y p e z b w N T n L X > < a : K e y > < K e y > C o l u m n s \ A d u l t   P a c k < / K e y > < / a : K e y > < a : V a l u e   i : t y p e = " T a b l e W i d g e t B a s e V i e w S t a t e " / > < / a : K e y V a l u e O f D i a g r a m O b j e c t K e y a n y T y p e z b w N T n L X > < a : K e y V a l u e O f D i a g r a m O b j e c t K e y a n y T y p e z b w N T n L X > < a : K e y > < K e y > C o l u m n s \ o t r o s < / K e y > < / a : K e y > < a : V a l u e   i : t y p e = " T a b l e W i d g e t B a s e V i e w S t a t e " / > < / a : K e y V a l u e O f D i a g r a m O b j e c t K e y a n y T y p e z b w N T n L X > < a : K e y V a l u e O f D i a g r a m O b j e c t K e y a n y T y p e z b w N T n L X > < a : K e y > < K e y > C o l u m n s \ C a n t i d a d   d e   l � n e a s   i n c l u i d a s < / K e y > < / a : K e y > < a : V a l u e   i : t y p e = " T a b l e W i d g e t B a s e V i e w S t a t e " / > < / a : K e y V a l u e O f D i a g r a m O b j e c t K e y a n y T y p e z b w N T n L X > < a : K e y V a l u e O f D i a g r a m O b j e c t K e y a n y T y p e z b w N T n L X > < a : K e y > < K e y > C o l u m n s \ N a c i o n a l e s 2 < / K e y > < / a : K e y > < a : V a l u e   i : t y p e = " T a b l e W i d g e t B a s e V i e w S t a t e " / > < / a : K e y V a l u e O f D i a g r a m O b j e c t K e y a n y T y p e z b w N T n L X > < a : K e y V a l u e O f D i a g r a m O b j e c t K e y a n y T y p e z b w N T n L X > < a : K e y > < K e y > C o l u m n s \ E s t d o s   U n i d o s   y   C a n a d � < / K e y > < / a : K e y > < a : V a l u e   i : t y p e = " T a b l e W i d g e t B a s e V i e w S t a t e " / > < / a : K e y V a l u e O f D i a g r a m O b j e c t K e y a n y T y p e z b w N T n L X > < a : K e y V a l u e O f D i a g r a m O b j e c t K e y a n y T y p e z b w N T n L X > < a : K e y > < K e y > C o l u m n s \ N a c i o n a l e s 3 < / K e y > < / a : K e y > < a : V a l u e   i : t y p e = " T a b l e W i d g e t B a s e V i e w S t a t e " / > < / a : K e y V a l u e O f D i a g r a m O b j e c t K e y a n y T y p e z b w N T n L X > < a : K e y V a l u e O f D i a g r a m O b j e c t K e y a n y T y p e z b w N T n L X > < a : K e y > < K e y > C o l u m n s \ E s t d o s   U n i d o s   y   C a n a d � 4 < / K e y > < / a : K e y > < a : V a l u e   i : t y p e = " T a b l e W i d g e t B a s e V i e w S t a t e " / > < / a : K e y V a l u e O f D i a g r a m O b j e c t K e y a n y T y p e z b w N T n L X > < a : K e y V a l u e O f D i a g r a m O b j e c t K e y a n y T y p e z b w N T n L X > < a : K e y > < K e y > C o l u m n s \ V e l o c i d a d   d e   b a j a d a   o f e r t a d a   ( M b p s ) < / K e y > < / a : K e y > < a : V a l u e   i : t y p e = " T a b l e W i d g e t B a s e V i e w S t a t e " / > < / a : K e y V a l u e O f D i a g r a m O b j e c t K e y a n y T y p e z b w N T n L X > < a : K e y V a l u e O f D i a g r a m O b j e c t K e y a n y T y p e z b w N T n L X > < a : K e y > < K e y > C o l u m n s \ V e l o c i d a d   d e   s u b i d a   o f e r t a d a   ( M b p s ) < / K e y > < / a : K e y > < a : V a l u e   i : t y p e = " T a b l e W i d g e t B a s e V i e w S t a t e " / > < / a : K e y V a l u e O f D i a g r a m O b j e c t K e y a n y T y p e z b w N T n L X > < a : K e y V a l u e O f D i a g r a m O b j e c t K e y a n y T y p e z b w N T n L X > < a : K e y > < K e y > C o l u m n s \ � C u e n t a   c o n   p r o m o c i o n e s   q u e   i n c r e m e n t e n   s u   v e l o c i d a d   a   p a r t i r   d e l   p a g o   d e   l a   m i s m a   r e n t a   m e n s u a l ?   ( S < / K e y > < / a : K e y > < a : V a l u e   i : t y p e = " T a b l e W i d g e t B a s e V i e w S t a t e " / > < / a : K e y V a l u e O f D i a g r a m O b j e c t K e y a n y T y p e z b w N T n L X > < a : K e y V a l u e O f D i a g r a m O b j e c t K e y a n y T y p e z b w N T n L X > < a : K e y > < K e y > C o l u m n s \ D u r a c i � n   d e l   p e r i o d o   d e   t i e m p o   ( e n   m e s e s )   e n   q u e   o f r e c e   l a   p r o m o c i � n   d e   i n c r e m e n t o   d e   v e l o c i d a d < / K e y > < / a : K e y > < a : V a l u e   i : t y p e = " T a b l e W i d g e t B a s e V i e w S t a t e " / > < / a : K e y V a l u e O f D i a g r a m O b j e c t K e y a n y T y p e z b w N T n L X > < a : K e y V a l u e O f D i a g r a m O b j e c t K e y a n y T y p e z b w N T n L X > < a : K e y > < K e y > C o l u m n s \ V e l o c i d a d   d e   s u b i d a   o f e r t a d a   ( M b p s )   c o n   l a   p r o m o c i � n   d e   a u m e n t o   d e   v e l o c i d a d < / K e y > < / a : K e y > < a : V a l u e   i : t y p e = " T a b l e W i d g e t B a s e V i e w S t a t e " / > < / a : K e y V a l u e O f D i a g r a m O b j e c t K e y a n y T y p e z b w N T n L X > < a : K e y V a l u e O f D i a g r a m O b j e c t K e y a n y T y p e z b w N T n L X > < a : K e y > < K e y > C o l u m n s \ V e l o c i d a d   d e   b a j a d a   o f e r t a d a   ( M b p s )   c o n   l a   p r o m o c i � n   d e   a u m e n t o   d e   v e l o c i d a d < / K e y > < / a : K e y > < a : V a l u e   i : t y p e = " T a b l e W i d g e t B a s e V i e w S t a t e " / > < / a : K e y V a l u e O f D i a g r a m O b j e c t K e y a n y T y p e z b w N T n L X > < a : K e y V a l u e O f D i a g r a m O b j e c t K e y a n y T y p e z b w N T n L X > < a : K e y > < K e y > C o l u m n s \ V e l o c i d a d   d e   s u b i d a   o f e r t a d a   ( M b p s )   c o n   l a   p r o m o c i � n   d e   a u m e n t o   d e   v e l o c i d a d 5 < / K e y > < / a : K e y > < a : V a l u e   i : t y p e = " T a b l e W i d g e t B a s e V i e w S t a t e " / > < / a : K e y V a l u e O f D i a g r a m O b j e c t K e y a n y T y p e z b w N T n L X > < a : K e y V a l u e O f D i a g r a m O b j e c t K e y a n y T y p e z b w N T n L X > < a : K e y > < K e y > C o l u m n s \ V e l o c i d a d   d e   b a j a d a   o f e r t a d a   ( M b p s )   c o n   l a   p r o m o c i � n   d e   a u m e n t o   d e   v e l o c i d a d 6 < / K e y > < / a : K e y > < a : V a l u e   i : t y p e = " T a b l e W i d g e t B a s e V i e w S t a t e " / > < / a : K e y V a l u e O f D i a g r a m O b j e c t K e y a n y T y p e z b w N T n L X > < a : K e y V a l u e O f D i a g r a m O b j e c t K e y a n y T y p e z b w N T n L X > < a : K e y > < K e y > C o l u m n s \ V e l o c i d a d   d e   s u b i d a   o f e r t a d a   ( M b p s )   c o n   l a   p r o m o c i � n   d e   a u m e n t o   d e   v e l o c i d a d 7 < / K e y > < / a : K e y > < a : V a l u e   i : t y p e = " T a b l e W i d g e t B a s e V i e w S t a t e " / > < / a : K e y V a l u e O f D i a g r a m O b j e c t K e y a n y T y p e z b w N T n L X > < a : K e y V a l u e O f D i a g r a m O b j e c t K e y a n y T y p e z b w N T n L X > < a : K e y > < K e y > C o l u m n s \ � C u e n t a   c o n   p r o m o c i o n e s   q u e   v u e l v a n   s u   v e l o c i d a d   s i m � t r i c a   p a r t i r   d e l   p a g o   d e   l a   m i s m a   r e n t a   m e n s u a l < / K e y > < / a : K e y > < a : V a l u e   i : t y p e = " T a b l e W i d g e t B a s e V i e w S t a t e " / > < / a : K e y V a l u e O f D i a g r a m O b j e c t K e y a n y T y p e z b w N T n L X > < a : K e y V a l u e O f D i a g r a m O b j e c t K e y a n y T y p e z b w N T n L X > < a : K e y > < K e y > C o l u m n s \ D u r a c i � n   d e l   p e r i o d o   d e   t i e m p o   ( e n   m e s e s )   e n   q u e   o f r e c e   l a   p r o m o c i � n   d e   s i m e t r � a   e n   l a   v e l o c i d a d < / K e y > < / a : K e y > < a : V a l u e   i : t y p e = " T a b l e W i d g e t B a s e V i e w S t a t e " / > < / a : K e y V a l u e O f D i a g r a m O b j e c t K e y a n y T y p e z b w N T n L X > < a : K e y V a l u e O f D i a g r a m O b j e c t K e y a n y T y p e z b w N T n L X > < a : K e y > < K e y > C o l u m n s \ � I n c l u y e   P a r a m o u n t   + ? < / K e y > < / a : K e y > < a : V a l u e   i : t y p e = " T a b l e W i d g e t B a s e V i e w S t a t e " / > < / a : K e y V a l u e O f D i a g r a m O b j e c t K e y a n y T y p e z b w N T n L X > < a : K e y V a l u e O f D i a g r a m O b j e c t K e y a n y T y p e z b w N T n L X > < a : K e y > < K e y > C o l u m n s \ T � r m i n o s   y   c o n d i c i o n e s   d e l   s e r v i c i o * * < / K e y > < / a : K e y > < a : V a l u e   i : t y p e = " T a b l e W i d g e t B a s e V i e w S t a t e " / > < / a : K e y V a l u e O f D i a g r a m O b j e c t K e y a n y T y p e z b w N T n L X > < a : K e y V a l u e O f D i a g r a m O b j e c t K e y a n y T y p e z b w N T n L X > < a : K e y > < K e y > C o l u m n s \ D u r a c i � n   d e l   p e r i o d o   d e   t i e m p o   ( e n   m e s e s )   e n   q u e   o f r e c e   a   l o s   u s u a r i o s   f i n a l e s   e l   s e r v i c i o   d e   P a r a m o < / K e y > < / a : K e y > < a : V a l u e   i : t y p e = " T a b l e W i d g e t B a s e V i e w S t a t e " / > < / a : K e y V a l u e O f D i a g r a m O b j e c t K e y a n y T y p e z b w N T n L X > < a : K e y V a l u e O f D i a g r a m O b j e c t K e y a n y T y p e z b w N T n L X > < a : K e y > < K e y > C o l u m n s \ � I n c l u y e   m a x ? < / K e y > < / a : K e y > < a : V a l u e   i : t y p e = " T a b l e W i d g e t B a s e V i e w S t a t e " / > < / a : K e y V a l u e O f D i a g r a m O b j e c t K e y a n y T y p e z b w N T n L X > < a : K e y V a l u e O f D i a g r a m O b j e c t K e y a n y T y p e z b w N T n L X > < a : K e y > < K e y > C o l u m n s \ T � r m i n o s   y   c o n d i c i o n e s   d e l   s e r v i c i o * * 8 < / K e y > < / a : K e y > < a : V a l u e   i : t y p e = " T a b l e W i d g e t B a s e V i e w S t a t e " / > < / a : K e y V a l u e O f D i a g r a m O b j e c t K e y a n y T y p e z b w N T n L X > < a : K e y V a l u e O f D i a g r a m O b j e c t K e y a n y T y p e z b w N T n L X > < a : K e y > < K e y > C o l u m n s \ D u r a c i � n   d e l   p e r i o d o   d e   t i e m p o   ( e n   m e s e s )   e n   q u e   o f r e c e   a   l o s   u s u a r i o s   f i n a l e s   e l   s e r v i c i o   d e   m a x   s i < / K e y > < / a : K e y > < a : V a l u e   i : t y p e = " T a b l e W i d g e t B a s e V i e w S t a t e " / > < / a : K e y V a l u e O f D i a g r a m O b j e c t K e y a n y T y p e z b w N T n L X > < a : K e y V a l u e O f D i a g r a m O b j e c t K e y a n y T y p e z b w N T n L X > < a : K e y > < K e y > C o l u m n s \ � I n c l u y e   m a x ?   9 < / K e y > < / a : K e y > < a : V a l u e   i : t y p e = " T a b l e W i d g e t B a s e V i e w S t a t e " / > < / a : K e y V a l u e O f D i a g r a m O b j e c t K e y a n y T y p e z b w N T n L X > < a : K e y V a l u e O f D i a g r a m O b j e c t K e y a n y T y p e z b w N T n L X > < a : K e y > < K e y > C o l u m n s \ T � r m i n o s   y   c o n d i c i o n e s   d e l   s e r v i c i o * * 1 0 < / K e y > < / a : K e y > < a : V a l u e   i : t y p e = " T a b l e W i d g e t B a s e V i e w S t a t e " / > < / a : K e y V a l u e O f D i a g r a m O b j e c t K e y a n y T y p e z b w N T n L X > < a : K e y V a l u e O f D i a g r a m O b j e c t K e y a n y T y p e z b w N T n L X > < a : K e y > < K e y > C o l u m n s \ D u r a c i � n   d e l   p e r i o d o   d e   t i e m p o   ( e n   m e s e s )   e n   q u e   o f r e c e   a   l o s   u s u a r i o s   f i n a l e s   e l   s e r v i c i o   d e   m a x     2 < / K e y > < / a : K e y > < a : V a l u e   i : t y p e = " T a b l e W i d g e t B a s e V i e w S t a t e " / > < / a : K e y V a l u e O f D i a g r a m O b j e c t K e y a n y T y p e z b w N T n L X > < a : K e y V a l u e O f D i a g r a m O b j e c t K e y a n y T y p e z b w N T n L X > < a : K e y > < K e y > C o l u m n s \ C a n t i d a d   d e   s e r v i c i o s   a d i c i o n a l e s   i n c l u i d o s < / K e y > < / a : K e y > < a : V a l u e   i : t y p e = " T a b l e W i d g e t B a s e V i e w S t a t e " / > < / a : K e y V a l u e O f D i a g r a m O b j e c t K e y a n y T y p e z b w N T n L X > < a : K e y V a l u e O f D i a g r a m O b j e c t K e y a n y T y p e z b w N T n L X > < a : K e y > < K e y > C o l u m n s \ N o m b r e   d e   l o s   s e r v i c i o s   a d i c i o n a l e s   i n c l u i d o s   ( p o r   e j e m p l o   (   I d e n t i f i c a d o r   d e   l l a m a d a s ,   D e s v i o   d e   l l < / K e y > < / a : K e y > < a : V a l u e   i : t y p e = " T a b l e W i d g e t B a s e V i e w S t a t e " / > < / a : K e y V a l u e O f D i a g r a m O b j e c t K e y a n y T y p e z b w N T n L X > < a : K e y V a l u e O f D i a g r a m O b j e c t K e y a n y T y p e z b w N T n L X > < a : K e y > < K e y > C o l u m n s \ T V   a d i c i o n a l   * * * < / K e y > < / a : K e y > < a : V a l u e   i : t y p e = " T a b l e W i d g e t B a s e V i e w S t a t e " / > < / a : K e y V a l u e O f D i a g r a m O b j e c t K e y a n y T y p e z b w N T n L X > < a : K e y V a l u e O f D i a g r a m O b j e c t K e y a n y T y p e z b w N T n L X > < a : K e y > < K e y > C o l u m n s \ C a r g o   p o r   i n s t a l a c i � n   * * * < / K e y > < / a : K e y > < a : V a l u e   i : t y p e = " T a b l e W i d g e t B a s e V i e w S t a t e " / > < / a : K e y V a l u e O f D i a g r a m O b j e c t K e y a n y T y p e z b w N T n L X > < a : K e y V a l u e O f D i a g r a m O b j e c t K e y a n y T y p e z b w N T n L X > < a : K e y > < K e y > C o l u m n s \ E q u i p o   t e r m i n a l   ( M � d e m / O N T ) * * * < / K e y > < / a : K e y > < a : V a l u e   i : t y p e = " T a b l e W i d g e t B a s e V i e w S t a t e " / > < / a : K e y V a l u e O f D i a g r a m O b j e c t K e y a n y T y p e z b w N T n L X > < a : K e y V a l u e O f D i a g r a m O b j e c t K e y a n y T y p e z b w N T n L X > < a : K e y > < K e y > C o l u m n s \ D e c o d i f i c a d o r   ( d i g i t a l )   * * * < / K e y > < / a : K e y > < a : V a l u e   i : t y p e = " T a b l e W i d g e t B a s e V i e w S t a t e " / > < / a : K e y V a l u e O f D i a g r a m O b j e c t K e y a n y T y p e z b w N T n L X > < a : K e y V a l u e O f D i a g r a m O b j e c t K e y a n y T y p e z b w N T n L X > < a : K e y > < K e y > C o l u m n s \ X v i e w   +   /   X v i e w   * * * < / K e y > < / a : K e y > < a : V a l u e   i : t y p e = " T a b l e W i d g e t B a s e V i e w S t a t e " / > < / a : K e y V a l u e O f D i a g r a m O b j e c t K e y a n y T y p e z b w N T n L X > < a : K e y V a l u e O f D i a g r a m O b j e c t K e y a n y T y p e z b w N T n L X > < a : K e y > < K e y > C o l u m n s \ S e r v i c i o   C l o u d     ( C l o u d   1 ,   C l o u d   2 )   * * * < / K e y > < / a : K e y > < a : V a l u e   i : t y p e = " T a b l e W i d g e t B a s e V i e w S t a t e " / > < / a : K e y V a l u e O f D i a g r a m O b j e c t K e y a n y T y p e z b w N T n L X > < a : K e y V a l u e O f D i a g r a m O b j e c t K e y a n y T y p e z b w N T n L X > < a : K e y > < K e y > C o l u m n s \ M e g a   M � v i l   * * * < / K e y > < / a : K e y > < a : V a l u e   i : t y p e = " T a b l e W i d g e t B a s e V i e w S t a t e " / > < / a : K e y V a l u e O f D i a g r a m O b j e c t K e y a n y T y p e z b w N T n L X > < a : K e y V a l u e O f D i a g r a m O b j e c t K e y a n y T y p e z b w N T n L X > < a : K e y > < K e y > C o l u m n s \ E x t e n s o r   M e s h   * * * < / K e y > < / a : K e y > < a : V a l u e   i : t y p e = " T a b l e W i d g e t B a s e V i e w S t a t e " / > < / a : K e y V a l u e O f D i a g r a m O b j e c t K e y a n y T y p e z b w N T n L X > < a : K e y V a l u e O f D i a g r a m O b j e c t K e y a n y T y p e z b w N T n L X > < a : K e y > < K e y > C o l u m n s \ N o r t o n   S e c u r i t y   * * *   N o r t o n   F a m i l y   * * *   N o r t o n   S e c u r e   V P N   * * * < / K e y > < / a : K e y > < a : V a l u e   i : t y p e = " T a b l e W i d g e t B a s e V i e w S t a t e " / > < / a : K e y V a l u e O f D i a g r a m O b j e c t K e y a n y T y p e z b w N T n L X > < a : K e y V a l u e O f D i a g r a m O b j e c t K e y a n y T y p e z b w N T n L X > < a : K e y > < K e y > C o l u m n s \ F o x   S p o r t   P r e m i u m   * * * * < / K e y > < / a : K e y > < a : V a l u e   i : t y p e = " T a b l e W i d g e t B a s e V i e w S t a t e " / > < / a : K e y V a l u e O f D i a g r a m O b j e c t K e y a n y T y p e z b w N T n L X > < a : K e y V a l u e O f D i a g r a m O b j e c t K e y a n y T y p e z b w N T n L X > < a : K e y > < K e y > C o l u m n s \ N B A   L e a g u e   P a s s   * * * * < / K e y > < / a : K e y > < a : V a l u e   i : t y p e = " T a b l e W i d g e t B a s e V i e w S t a t e " / > < / a : K e y V a l u e O f D i a g r a m O b j e c t K e y a n y T y p e z b w N T n L X > < a : K e y V a l u e O f D i a g r a m O b j e c t K e y a n y T y p e z b w N T n L X > < a : K e y > < K e y > C o l u m n s \ M B L   * * * * < / K e y > < / a : K e y > < a : V a l u e   i : t y p e = " T a b l e W i d g e t B a s e V i e w S t a t e " / > < / a : K e y V a l u e O f D i a g r a m O b j e c t K e y a n y T y p e z b w N T n L X > < a : K e y V a l u e O f D i a g r a m O b j e c t K e y a n y T y p e z b w N T n L X > < a : K e y > < K e y > C o l u m n s \ O t r o s   I n c l u y a   l a s   c o l u m n a s   q u e   s e a n   n e c e s a r i a s 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 S u s c r i p t o r e s c < / 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 S u s c r i p t o r e s c < / 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 C o l u m n s \ N o m b r e   d e   P l a n / P a q u e t e < / K e y > < / a : K e y > < a : V a l u e   i : t y p e = " T a b l e W i d g e t B a s e V i e w S t a t e " / > < / a : K e y V a l u e O f D i a g r a m O b j e c t K e y a n y T y p e z b w N T n L X > < a : K e y V a l u e O f D i a g r a m O b j e c t K e y a n y T y p e z b w N T n L X > < a : K e y > < K e y > C o l u m n s \ T i p o * < / K e y > < / a : K e y > < a : V a l u e   i : t y p e = " T a b l e W i d g e t B a s e V i e w S t a t e " / > < / a : K e y V a l u e O f D i a g r a m O b j e c t K e y a n y T y p e z b w N T n L X > < a : K e y V a l u e O f D i a g r a m O b j e c t K e y a n y T y p e z b w N T n L X > < a : K e y > < K e y > C o l u m n s \ T i p o   d e   p a q u e t e   c o n s i d e r a n d o   S T A R   ( s e r v i c i o s   i n c l u i d o s ) * < / K e y > < / a : K e y > < a : V a l u e   i : t y p e = " T a b l e W i d g e t B a s e V i e w S t a t e " / > < / a : K e y V a l u e O f D i a g r a m O b j e c t K e y a n y T y p e z b w N T n L X > < a : K e y V a l u e O f D i a g r a m O b j e c t K e y a n y T y p e z b w N T n L X > < a : K e y > < K e y > C o l u m n s \ E s t a d o < / 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 C o l u m n s \ L o c a l i d a d < / K e y > < / a : K e y > < a : V a l u e   i : t y p e = " T a b l e W i d g e t B a s e V i e w S t a t e " / > < / a : K e y V a l u e O f D i a g r a m O b j e c t K e y a n y T y p e z b w N T n L X > < a : K e y V a l u e O f D i a g r a m O b j e c t K e y a n y T y p e z b w N T n L X > < a : K e y > < K e y > C o l u m n s \ F i b r a   � p t i c a     2 0 2 3 < / K e y > < / a : K e y > < a : V a l u e   i : t y p e = " T a b l e W i d g e t B a s e V i e w S t a t e " / > < / a : K e y V a l u e O f D i a g r a m O b j e c t K e y a n y T y p e z b w N T n L X > < a : K e y V a l u e O f D i a g r a m O b j e c t K e y a n y T y p e z b w N T n L X > < a : K e y > < K e y > C o l u m n s \ C a b l e   C o a x i a l   2 0 2 3 < / K e y > < / a : K e y > < a : V a l u e   i : t y p e = " T a b l e W i d g e t B a s e V i e w S t a t e " / > < / a : K e y V a l u e O f D i a g r a m O b j e c t K e y a n y T y p e z b w N T n L X > < a : K e y V a l u e O f D i a g r a m O b j e c t K e y a n y T y p e z b w N T n L X > < a : K e y > < K e y > C o l u m n s \ S a t e l i t a l e s     ( D i r e c t   T o   H o m e   o   D T H ) < / K e y > < / a : K e y > < a : V a l u e   i : t y p e = " T a b l e W i d g e t B a s e V i e w S t a t e " / > < / a : K e y V a l u e O f D i a g r a m O b j e c t K e y a n y T y p e z b w N T n L X > < a : K e y V a l u e O f D i a g r a m O b j e c t K e y a n y T y p e z b w N T n L X > < a : K e y > < K e y > C o l u m n s \ O t r a s   t e c n o l o g � a s   [ S e � a l e   e l   t i p o   d e   c o n f i g u r a c i � n   d e   r e d ] < / K e y > < / a : K e y > < a : V a l u e   i : t y p e = " T a b l e W i d g e t B a s e V i e w S t a t e " / > < / a : K e y V a l u e O f D i a g r a m O b j e c t K e y a n y T y p e z b w N T n L X > < a : K e y V a l u e O f D i a g r a m O b j e c t K e y a n y T y p e z b w N T n L X > < a : K e y > < K e y > C o l u m n s \ F i b r a   � p t i c a   2 0 2 4 < / K e y > < / a : K e y > < a : V a l u e   i : t y p e = " T a b l e W i d g e t B a s e V i e w S t a t e " / > < / a : K e y V a l u e O f D i a g r a m O b j e c t K e y a n y T y p e z b w N T n L X > < a : K e y V a l u e O f D i a g r a m O b j e c t K e y a n y T y p e z b w N T n L X > < a : K e y > < K e y > C o l u m n s \ C a b l e   C o a x i a l   2 0 2 4 < / 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S a n d b o x N o n E m p t y " > < C u s t o m C o n t e n t > < ! [ C D A T A [ 1 ] ] > < / C u s t o m C o n t e n t > < / G e m i n i > 
</file>

<file path=customXml/item20.xml>��< ? x m l   v e r s i o n = " 1 . 0 "   e n c o d i n g = " U T F - 1 6 " ? > < G e m i n i   x m l n s = " h t t p : / / g e m i n i / p i v o t c u s t o m i z a t i o n / T a b l e X M L _ T a r i f a s 2 0 2 4 " > < C u s t o m C o n t e n t > < ! [ C D A T A [ < T a b l e W i d g e t G r i d S e r i a l i z a t i o n   x m l n s : x s d = " h t t p : / / w w w . w 3 . o r g / 2 0 0 1 / X M L S c h e m a "   x m l n s : x s i = " h t t p : / / w w w . w 3 . o r g / 2 0 0 1 / X M L S c h e m a - i n s t a n c e " > < C o l u m n S u g g e s t e d T y p e   / > < C o l u m n F o r m a t   / > < C o l u m n A c c u r a c y   / > < C o l u m n C u r r e n c y S y m b o l   / > < C o l u m n P o s i t i v e P a t t e r n   / > < C o l u m n N e g a t i v e P a t t e r n   / > < C o l u m n W i d t h s > < i t e m > < k e y > < s t r i n g > N o m b r e   d e   P l a n / P a q u e t e < / s t r i n g > < / k e y > < v a l u e > < i n t > 1 9 4 < / i n t > < / v a l u e > < / i t e m > < i t e m > < k e y > < s t r i n g > T i p o * < / s t r i n g > < / k e y > < v a l u e > < i n t > 7 0 < / i n t > < / v a l u e > < / i t e m > < i t e m > < k e y > < s t r i n g > T i p o   d e   p a q u e t e   c o n s i d e r a n d o   S T A R   ( s e r v i c i o s   i n c l u i d o s ) * < / s t r i n g > < / k e y > < v a l u e > < i n t > 3 9 0 < / i n t > < / v a l u e > < / i t e m > < i t e m > < k e y > < s t r i n g > E s q u e m a * < / s t r i n g > < / k e y > < v a l u e > < i n t > 9 9 < / i n t > < / v a l u e > < / i t e m > < i t e m > < k e y > < s t r i n g > P e r i o d o   d e   p a g o < / s t r i n g > < / k e y > < v a l u e > < i n t > 1 3 7 < / i n t > < / v a l u e > < / i t e m > < i t e m > < k e y > < s t r i n g > E s t a d o < / s t r i n g > < / k e y > < v a l u e > < i n t > 7 7 < / i n t > < / v a l u e > < / i t e m > < i t e m > < k e y > < s t r i n g > M u n i c i p i o < / s t r i n g > < / k e y > < v a l u e > < i n t > 9 8 < / i n t > < / v a l u e > < / i t e m > < i t e m > < k e y > < s t r i n g > L o c a l i d a d < / s t r i n g > < / k e y > < v a l u e > < i n t > 9 4 < / i n t > < / v a l u e > < / i t e m > < i t e m > < k e y > < s t r i n g > F o l i o   R P C < / s t r i n g > < / k e y > < v a l u e > < i n t > 9 4 < / i n t > < / v a l u e > < / i t e m > < i t e m > < k e y > < s t r i n g > R e n t a   m e n s u a l   ( s i n   i m p u e s t o s ) < / s t r i n g > < / k e y > < v a l u e > < i n t > 2 2 7 < / i n t > < / v a l u e > < / i t e m > < i t e m > < k e y > < s t r i n g > R e n t a   m e n s u a l     ( c o n   i m p u e s t o s ) < / s t r i n g > < / k e y > < v a l u e > < i n t > 2 3 4 < / i n t > < / v a l u e > < / i t e m > < i t e m > < k e y > < s t r i n g > � T i e n e   p r o m o c i o n e s   a s o c i a d a s   a l   p a q u e t e   q u e   a j u s t e n   l a   t a r i f a   d e   l a   r e n t a   m e n s u a l ?   ( S i / N o ) < / s t r i n g > < / k e y > < v a l u e > < i n t > 5 9 8 < / i n t > < / v a l u e > < / i t e m > < i t e m > < k e y > < s t r i n g > P r o m o c i � n   d e   " D e s c u e n t o   d e   s u   m e n s u a l i d a d "   p o r   u n   p e r i o d o   e s p e c � f i c o < / s t r i n g > < / k e y > < v a l u e > < i n t > 4 8 1 < / i n t > < / v a l u e > < / i t e m > < i t e m > < k e y > < s t r i n g > R e n t a   m e n u s u a l   c o n   t a r i f a   p r o m o c i o n a l   ( s i n   i m p u e s t o s ) < / s t r i n g > < / k e y > < v a l u e > < i n t > 3 7 7 < / i n t > < / v a l u e > < / i t e m > < i t e m > < k e y > < s t r i n g > D u r a c i � n   d e   l a   p r o m o c i � n   ( e n   m e s e s ) < / s t r i n g > < / k e y > < v a l u e > < i n t > 2 6 6 < / i n t > < / v a l u e > < / i t e m > < i t e m > < k e y > < s t r i n g > T � r m i n o s   y   c o n d i c i o n e s < / s t r i n g > < / k e y > < v a l u e > < i n t > 1 8 0 < / i n t > < / v a l u e > < / i t e m > < i t e m > < k e y > < s t r i n g > P r o m o c i � n   p o r   " D o m i c i l i a c i � n "   d e   l a   r e n t a   m e n s u a l < / s t r i n g > < / k e y > < v a l u e > < i n t > 3 5 1 < / i n t > < / v a l u e > < / i t e m > < i t e m > < k e y > < s t r i n g > R e n t a   m e n u s u a l   c o n   t a r i f a   p r o m o c i o n a l   ( s i n   i m p u e s t o s ) 2 < / s t r i n g > < / k e y > < v a l u e > < i n t > 3 8 4 < / i n t > < / v a l u e > < / i t e m > < i t e m > < k e y > < s t r i n g > D u r a c i � n   d e   l a   p r o m o c i � n   ( e n   m e s e s ) 3 < / s t r i n g > < / k e y > < v a l u e > < i n t > 2 7 3 < / i n t > < / v a l u e > < / i t e m > < i t e m > < k e y > < s t r i n g > T � r m i n o s   y   c o n d i c i o n e s 4 < / s t r i n g > < / k e y > < v a l u e > < i n t > 1 8 7 < / i n t > < / v a l u e > < / i t e m > < i t e m > < k e y > < s t r i n g > P r o m o c i � n   p o r   " A n u a l i d a d " < / s t r i n g > < / k e y > < v a l u e > < i n t > 2 0 5 < / i n t > < / v a l u e > < / i t e m > < i t e m > < k e y > < s t r i n g > R e n t a   m e n u s u a l   c o n   t a r i f a   p r o m o c i o n a l   ( s i n   i m p u e s t o s ) 5 < / s t r i n g > < / k e y > < v a l u e > < i n t > 3 8 4 < / i n t > < / v a l u e > < / i t e m > < i t e m > < k e y > < s t r i n g > D u r a c i � n   d e   l a   p r o m o c i � n   ( e n   m e s e s ) 6 < / s t r i n g > < / k e y > < v a l u e > < i n t > 2 7 3 < / i n t > < / v a l u e > < / i t e m > < i t e m > < k e y > < s t r i n g > T � r m i n o s   y   c o n d i c i o n e s 7 < / s t r i n g > < / k e y > < v a l u e > < i n t > 1 8 7 < / i n t > < / v a l u e > < / i t e m > < i t e m > < k e y > < s t r i n g > P r o m o c i � n   p o r   " C l i e n t e   a c t u a l   d e   T V " < / s t r i n g > < / k e y > < v a l u e > < i n t > 2 6 5 < / i n t > < / v a l u e > < / i t e m > < i t e m > < k e y > < s t r i n g > R e n t a   m e n u s u a l   c o n   t a r i f a   p r o m o c i o n a l   ( s i n   i m p u e s t o s ) 8 < / s t r i n g > < / k e y > < v a l u e > < i n t > 3 8 4 < / i n t > < / v a l u e > < / i t e m > < i t e m > < k e y > < s t r i n g > D u r a c i � n   d e   l a   p r o m o c i � n   ( e n   m e s e s ) 9 < / s t r i n g > < / k e y > < v a l u e > < i n t > 2 7 3 < / i n t > < / v a l u e > < / i t e m > < i t e m > < k e y > < s t r i n g > T � r m i n o s   y   c o n d i c i o n e s 1 0 < / s t r i n g > < / k e y > < v a l u e > < i n t > 1 9 4 < / i n t > < / v a l u e > < / i t e m > < i t e m > < k e y > < s t r i n g > � C u e n t a   c o n   i n c e n t i v o s   p r o m o c i o n a l e s   p o r   l a   c o n t r a t a c i � n   d e   a l g � n   s e r v i c i o   O T T   q u e   a j u s t e   e l   m o n t o   d < / s t r i n g > < / k e y > < v a l u e > < i n t > 6 6 3 < / i n t > < / v a l u e > < / i t e m > < i t e m > < k e y > < s t r i n g > T a r i f a   N e t f l i x   E s t � n d a r   c o n   a n u n c i o s   ( s i n   i m p u e s t o s ) < / s t r i n g > < / k e y > < v a l u e > < i n t > 3 5 3 < / i n t > < / v a l u e > < / i t e m > < i t e m > < k e y > < s t r i n g > R e n t a   m e n u s u a l   p r o m o c i o n a l   p o r   l a   c o n t r a t a c i � n   d e l   N e t f l i x   E s t � n d a r   c o n   a n u n c i o s   ( s i n   i m p u e s t o s ) < / s t r i n g > < / k e y > < v a l u e > < i n t > 6 4 1 < / i n t > < / v a l u e > < / i t e m > < i t e m > < k e y > < s t r i n g > T � r m i n o s   y   c o n d i c i o n e s 1 1 < / s t r i n g > < / k e y > < v a l u e > < i n t > 1 9 4 < / i n t > < / v a l u e > < / i t e m > < i t e m > < k e y > < s t r i n g > T a r i f a   N e t f l i x   E s t � n d a r   ( s i n   i m p u e s t o s ) < / s t r i n g > < / k e y > < v a l u e > < i n t > 2 7 0 < / i n t > < / v a l u e > < / i t e m > < i t e m > < k e y > < s t r i n g > R e n t a   m e n u s u a l   p r o m o c i o n a l   p o r   l a   c o n t r a t a c i � n   d e l   N e t f l i x   E s t � n d a r   ( s i n   i m p u e s t o s ) < / s t r i n g > < / k e y > < v a l u e > < i n t > 5 5 8 < / i n t > < / v a l u e > < / i t e m > < i t e m > < k e y > < s t r i n g > T � r m i n o s   y   c o n d i c i o n e s 1 2 < / s t r i n g > < / k e y > < v a l u e > < i n t > 1 9 4 < / i n t > < / v a l u e > < / i t e m > < i t e m > < k e y > < s t r i n g > T a r i f a   N e t f l i x   P r e m i u m   ( s i n   i m p u e s t o s ) < / s t r i n g > < / k e y > < v a l u e > < i n t > 2 7 4 < / i n t > < / v a l u e > < / i t e m > < i t e m > < k e y > < s t r i n g > R e n t a   m e n u s u a l   p r o m o c i o n a l   p o r   l a   c o n t r a t a c i � n   d e l   N e t f l i x   P r e m i u m   ( s i n   i m p u e s t o s ) < / s t r i n g > < / k e y > < v a l u e > < i n t > 5 6 2 < / i n t > < / v a l u e > < / i t e m > < i t e m > < k e y > < s t r i n g > T � r m i n o s   y   c o n d i c i o n e s 1 3 < / s t r i n g > < / k e y > < v a l u e > < i n t > 1 9 4 < / i n t > < / v a l u e > < / i t e m > < i t e m > < k e y > < s t r i n g > T a r i f a   A m a z o n   P r i m e   ( s i n   i m p u e s t o s ) < / s t r i n g > < / k e y > < v a l u e > < i n t > 2 6 2 < / i n t > < / v a l u e > < / i t e m > < i t e m > < k e y > < s t r i n g > R e n t a   m e n u s u a l   p r o m o c i o n a l   p o r   l a   c o n t r a t a c i � n   P r i m e   V i d e o   ( s i n   i m p u e s t o s ) < / s t r i n g > < / k e y > < v a l u e > < i n t > 5 1 4 < / i n t > < / v a l u e > < / i t e m > < i t e m > < k e y > < s t r i n g > T � r m i n o s   y   c o n d i c i o n e s 1 4 < / s t r i n g > < / k e y > < v a l u e > < i n t > 1 9 4 < / i n t > < / v a l u e > < / i t e m > < i t e m > < k e y > < s t r i n g > T a r i f a   m a x     ( s i n   i m p u e s t o s ) < / s t r i n g > < / k e y > < v a l u e > < i n t > 2 0 1 < / i n t > < / v a l u e > < / i t e m > < i t e m > < k e y > < s t r i n g > R e n t a   m e n u s u a l   p r o m o c i o n a l   p o r   l a   c o n t r a t a c i � n   m a x     ( s i n   i m p u e s t o s ) < / s t r i n g > < / k e y > < v a l u e > < i n t > 4 6 6 < / i n t > < / v a l u e > < / i t e m > < i t e m > < k e y > < s t r i n g > T � r m i n o s   y   c o n d i c i o n e s 1 5 < / s t r i n g > < / k e y > < v a l u e > < i n t > 1 9 4 < / i n t > < / v a l u e > < / i t e m > < i t e m > < k e y > < s t r i n g > T a r i f a   P a r a m o u n t   +   ( s i n   i m p u e s t o s ) < / s t r i n g > < / k e y > < v a l u e > < i n t > 2 5 0 < / i n t > < / v a l u e > < / i t e m > < i t e m > < k e y > < s t r i n g > R e n t a   m e n u s u a l   p r o m o c i o n a l   p o r   l a   c o n t r a t a c i � n   P a r a m o u n t   +   ( s i n   i m p u e s t o s ) < / s t r i n g > < / k e y > < v a l u e > < i n t > 5 1 5 < / i n t > < / v a l u e > < / i t e m > < i t e m > < k e y > < s t r i n g > T � r m i n o s   y   c o n d i c i o n e s 1 6 < / s t r i n g > < / k e y > < v a l u e > < i n t > 1 9 4 < / i n t > < / v a l u e > < / i t e m > < i t e m > < k e y > < s t r i n g > T a r i f a   D i s n e y   +     ( s i n   i m p u e s t o s ) < / s t r i n g > < / k e y > < v a l u e > < i n t > 2 2 7 < / i n t > < / v a l u e > < / i t e m > < i t e m > < k e y > < s t r i n g > R e n t a   m e n u s u a l   p r o m o c i o n a l   p o r   l a   c o n t r a t a c i � n   D i s n e y   +     ( s i n   i m p u e s t o s ) < / s t r i n g > < / k e y > < v a l u e > < i n t > 4 9 2 < / i n t > < / v a l u e > < / i t e m > < i t e m > < k e y > < s t r i n g > T � r m i n o s   y   c o n d i c i o n e s 1 7 < / s t r i n g > < / k e y > < v a l u e > < i n t > 1 9 4 < / i n t > < / v a l u e > < / i t e m > < i t e m > < k e y > < s t r i n g > T a r i f a   S t a r   +     ( s i n   i m p u e s t o s ) < / s t r i n g > < / k e y > < v a l u e > < i n t > 2 0 9 < / i n t > < / v a l u e > < / i t e m > < i t e m > < k e y > < s t r i n g > R e n t a   m e n u s u a l   p r o m o c i o n a l   p o r   l a   c o n t r a t a c i � n   S t a r   +     ( s i n   i m p u e s t o s ) < / s t r i n g > < / k e y > < v a l u e > < i n t > 4 7 4 < / i n t > < / v a l u e > < / i t e m > < i t e m > < k e y > < s t r i n g > T � r m i n o s   y   c o n d i c i o n e s 1 8 < / s t r i n g > < / k e y > < v a l u e > < i n t > 1 9 4 < / i n t > < / v a l u e > < / i t e m > < i t e m > < k e y > < s t r i n g > T a r i f a   C o m b o   +   ( s i n   i m p u e s t o s ) < / s t r i n g > < / k e y > < v a l u e > < i n t > 2 2 6 < / i n t > < / v a l u e > < / i t e m > < i t e m > < k e y > < s t r i n g > R e n t a   m e n u s u a l   p r o m o c i o n a l   p o r   l a   c o n t r a t a c i � n   C o m b o   ( s i n   i m p u e s t o s ) < / s t r i n g > < / k e y > < v a l u e > < i n t > 4 8 1 < / i n t > < / v a l u e > < / i t e m > < i t e m > < k e y > < s t r i n g > T � r m i n o s   y   c o n d i c i o n e s 1 9 < / s t r i n g > < / k e y > < v a l u e > < i n t > 1 9 4 < / i n t > < / v a l u e > < / i t e m > < i t e m > < k e y > < s t r i n g > T a r i f a   F o x   S p o r t   P r e m i u m     ( s i n   i m p u e s t o s ) < / s t r i n g > < / k e y > < v a l u e > < i n t > 2 9 3 < / i n t > < / v a l u e > < / i t e m > < i t e m > < k e y > < s t r i n g > R e n t a   m e n u s u a l   p r o m o c i o n a l   p o r   l a   c o n t r a t a c i � n   F o x   S p o r t   P r e m i u m   ( s i n   i m p u e s t o s ) < / s t r i n g > < / k e y > < v a l u e > < i n t > 5 5 5 < / i n t > < / v a l u e > < / i t e m > < i t e m > < k e y > < s t r i n g > T � r m i n o s   y   c o n d i c i o n e s 2 0 < / s t r i n g > < / k e y > < v a l u e > < i n t > 1 9 4 < / i n t > < / v a l u e > < / i t e m > < / C o l u m n W i d t h s > < C o l u m n D i s p l a y I n d e x > < i t e m > < k e y > < s t r i n g > N o m b r e   d e   P l a n / P a q u e t e < / s t r i n g > < / k e y > < v a l u e > < i n t > 0 < / i n t > < / v a l u e > < / i t e m > < i t e m > < k e y > < s t r i n g > T i p o * < / s t r i n g > < / k e y > < v a l u e > < i n t > 1 < / i n t > < / v a l u e > < / i t e m > < i t e m > < k e y > < s t r i n g > T i p o   d e   p a q u e t e   c o n s i d e r a n d o   S T A R   ( s e r v i c i o s   i n c l u i d o s ) * < / s t r i n g > < / k e y > < v a l u e > < i n t > 2 < / i n t > < / v a l u e > < / i t e m > < i t e m > < k e y > < s t r i n g > E s q u e m a * < / s t r i n g > < / k e y > < v a l u e > < i n t > 3 < / i n t > < / v a l u e > < / i t e m > < i t e m > < k e y > < s t r i n g > P e r i o d o   d e   p a g o < / s t r i n g > < / k e y > < v a l u e > < i n t > 4 < / i n t > < / v a l u e > < / i t e m > < i t e m > < k e y > < s t r i n g > E s t a d o < / s t r i n g > < / k e y > < v a l u e > < i n t > 5 < / i n t > < / v a l u e > < / i t e m > < i t e m > < k e y > < s t r i n g > M u n i c i p i o < / s t r i n g > < / k e y > < v a l u e > < i n t > 6 < / i n t > < / v a l u e > < / i t e m > < i t e m > < k e y > < s t r i n g > L o c a l i d a d < / s t r i n g > < / k e y > < v a l u e > < i n t > 7 < / i n t > < / v a l u e > < / i t e m > < i t e m > < k e y > < s t r i n g > F o l i o   R P C < / s t r i n g > < / k e y > < v a l u e > < i n t > 8 < / i n t > < / v a l u e > < / i t e m > < i t e m > < k e y > < s t r i n g > R e n t a   m e n s u a l   ( s i n   i m p u e s t o s ) < / s t r i n g > < / k e y > < v a l u e > < i n t > 9 < / i n t > < / v a l u e > < / i t e m > < i t e m > < k e y > < s t r i n g > R e n t a   m e n s u a l     ( c o n   i m p u e s t o s ) < / s t r i n g > < / k e y > < v a l u e > < i n t > 1 0 < / i n t > < / v a l u e > < / i t e m > < i t e m > < k e y > < s t r i n g > � T i e n e   p r o m o c i o n e s   a s o c i a d a s   a l   p a q u e t e   q u e   a j u s t e n   l a   t a r i f a   d e   l a   r e n t a   m e n s u a l ?   ( S i / N o ) < / s t r i n g > < / k e y > < v a l u e > < i n t > 1 1 < / i n t > < / v a l u e > < / i t e m > < i t e m > < k e y > < s t r i n g > P r o m o c i � n   d e   " D e s c u e n t o   d e   s u   m e n s u a l i d a d "   p o r   u n   p e r i o d o   e s p e c � f i c o < / s t r i n g > < / k e y > < v a l u e > < i n t > 1 2 < / i n t > < / v a l u e > < / i t e m > < i t e m > < k e y > < s t r i n g > R e n t a   m e n u s u a l   c o n   t a r i f a   p r o m o c i o n a l   ( s i n   i m p u e s t o s ) < / s t r i n g > < / k e y > < v a l u e > < i n t > 1 3 < / i n t > < / v a l u e > < / i t e m > < i t e m > < k e y > < s t r i n g > D u r a c i � n   d e   l a   p r o m o c i � n   ( e n   m e s e s ) < / s t r i n g > < / k e y > < v a l u e > < i n t > 1 4 < / i n t > < / v a l u e > < / i t e m > < i t e m > < k e y > < s t r i n g > T � r m i n o s   y   c o n d i c i o n e s < / s t r i n g > < / k e y > < v a l u e > < i n t > 1 5 < / i n t > < / v a l u e > < / i t e m > < i t e m > < k e y > < s t r i n g > P r o m o c i � n   p o r   " D o m i c i l i a c i � n "   d e   l a   r e n t a   m e n s u a l < / s t r i n g > < / k e y > < v a l u e > < i n t > 1 6 < / i n t > < / v a l u e > < / i t e m > < i t e m > < k e y > < s t r i n g > R e n t a   m e n u s u a l   c o n   t a r i f a   p r o m o c i o n a l   ( s i n   i m p u e s t o s ) 2 < / s t r i n g > < / k e y > < v a l u e > < i n t > 1 7 < / i n t > < / v a l u e > < / i t e m > < i t e m > < k e y > < s t r i n g > D u r a c i � n   d e   l a   p r o m o c i � n   ( e n   m e s e s ) 3 < / s t r i n g > < / k e y > < v a l u e > < i n t > 1 8 < / i n t > < / v a l u e > < / i t e m > < i t e m > < k e y > < s t r i n g > T � r m i n o s   y   c o n d i c i o n e s 4 < / s t r i n g > < / k e y > < v a l u e > < i n t > 1 9 < / i n t > < / v a l u e > < / i t e m > < i t e m > < k e y > < s t r i n g > P r o m o c i � n   p o r   " A n u a l i d a d " < / s t r i n g > < / k e y > < v a l u e > < i n t > 2 0 < / i n t > < / v a l u e > < / i t e m > < i t e m > < k e y > < s t r i n g > R e n t a   m e n u s u a l   c o n   t a r i f a   p r o m o c i o n a l   ( s i n   i m p u e s t o s ) 5 < / s t r i n g > < / k e y > < v a l u e > < i n t > 2 1 < / i n t > < / v a l u e > < / i t e m > < i t e m > < k e y > < s t r i n g > D u r a c i � n   d e   l a   p r o m o c i � n   ( e n   m e s e s ) 6 < / s t r i n g > < / k e y > < v a l u e > < i n t > 2 2 < / i n t > < / v a l u e > < / i t e m > < i t e m > < k e y > < s t r i n g > T � r m i n o s   y   c o n d i c i o n e s 7 < / s t r i n g > < / k e y > < v a l u e > < i n t > 2 3 < / i n t > < / v a l u e > < / i t e m > < i t e m > < k e y > < s t r i n g > P r o m o c i � n   p o r   " C l i e n t e   a c t u a l   d e   T V " < / s t r i n g > < / k e y > < v a l u e > < i n t > 2 4 < / i n t > < / v a l u e > < / i t e m > < i t e m > < k e y > < s t r i n g > R e n t a   m e n u s u a l   c o n   t a r i f a   p r o m o c i o n a l   ( s i n   i m p u e s t o s ) 8 < / s t r i n g > < / k e y > < v a l u e > < i n t > 2 5 < / i n t > < / v a l u e > < / i t e m > < i t e m > < k e y > < s t r i n g > D u r a c i � n   d e   l a   p r o m o c i � n   ( e n   m e s e s ) 9 < / s t r i n g > < / k e y > < v a l u e > < i n t > 2 6 < / i n t > < / v a l u e > < / i t e m > < i t e m > < k e y > < s t r i n g > T � r m i n o s   y   c o n d i c i o n e s 1 0 < / s t r i n g > < / k e y > < v a l u e > < i n t > 2 7 < / i n t > < / v a l u e > < / i t e m > < i t e m > < k e y > < s t r i n g > � C u e n t a   c o n   i n c e n t i v o s   p r o m o c i o n a l e s   p o r   l a   c o n t r a t a c i � n   d e   a l g � n   s e r v i c i o   O T T   q u e   a j u s t e   e l   m o n t o   d < / s t r i n g > < / k e y > < v a l u e > < i n t > 2 8 < / i n t > < / v a l u e > < / i t e m > < i t e m > < k e y > < s t r i n g > T a r i f a   N e t f l i x   E s t � n d a r   c o n   a n u n c i o s   ( s i n   i m p u e s t o s ) < / s t r i n g > < / k e y > < v a l u e > < i n t > 2 9 < / i n t > < / v a l u e > < / i t e m > < i t e m > < k e y > < s t r i n g > R e n t a   m e n u s u a l   p r o m o c i o n a l   p o r   l a   c o n t r a t a c i � n   d e l   N e t f l i x   E s t � n d a r   c o n   a n u n c i o s   ( s i n   i m p u e s t o s ) < / s t r i n g > < / k e y > < v a l u e > < i n t > 3 0 < / i n t > < / v a l u e > < / i t e m > < i t e m > < k e y > < s t r i n g > T � r m i n o s   y   c o n d i c i o n e s 1 1 < / s t r i n g > < / k e y > < v a l u e > < i n t > 3 1 < / i n t > < / v a l u e > < / i t e m > < i t e m > < k e y > < s t r i n g > T a r i f a   N e t f l i x   E s t � n d a r   ( s i n   i m p u e s t o s ) < / s t r i n g > < / k e y > < v a l u e > < i n t > 3 2 < / i n t > < / v a l u e > < / i t e m > < i t e m > < k e y > < s t r i n g > R e n t a   m e n u s u a l   p r o m o c i o n a l   p o r   l a   c o n t r a t a c i � n   d e l   N e t f l i x   E s t � n d a r   ( s i n   i m p u e s t o s ) < / s t r i n g > < / k e y > < v a l u e > < i n t > 3 3 < / i n t > < / v a l u e > < / i t e m > < i t e m > < k e y > < s t r i n g > T � r m i n o s   y   c o n d i c i o n e s 1 2 < / s t r i n g > < / k e y > < v a l u e > < i n t > 3 4 < / i n t > < / v a l u e > < / i t e m > < i t e m > < k e y > < s t r i n g > T a r i f a   N e t f l i x   P r e m i u m   ( s i n   i m p u e s t o s ) < / s t r i n g > < / k e y > < v a l u e > < i n t > 3 5 < / i n t > < / v a l u e > < / i t e m > < i t e m > < k e y > < s t r i n g > R e n t a   m e n u s u a l   p r o m o c i o n a l   p o r   l a   c o n t r a t a c i � n   d e l   N e t f l i x   P r e m i u m   ( s i n   i m p u e s t o s ) < / s t r i n g > < / k e y > < v a l u e > < i n t > 3 6 < / i n t > < / v a l u e > < / i t e m > < i t e m > < k e y > < s t r i n g > T � r m i n o s   y   c o n d i c i o n e s 1 3 < / s t r i n g > < / k e y > < v a l u e > < i n t > 3 7 < / i n t > < / v a l u e > < / i t e m > < i t e m > < k e y > < s t r i n g > T a r i f a   A m a z o n   P r i m e   ( s i n   i m p u e s t o s ) < / s t r i n g > < / k e y > < v a l u e > < i n t > 3 8 < / i n t > < / v a l u e > < / i t e m > < i t e m > < k e y > < s t r i n g > R e n t a   m e n u s u a l   p r o m o c i o n a l   p o r   l a   c o n t r a t a c i � n   P r i m e   V i d e o   ( s i n   i m p u e s t o s ) < / s t r i n g > < / k e y > < v a l u e > < i n t > 3 9 < / i n t > < / v a l u e > < / i t e m > < i t e m > < k e y > < s t r i n g > T � r m i n o s   y   c o n d i c i o n e s 1 4 < / s t r i n g > < / k e y > < v a l u e > < i n t > 4 0 < / i n t > < / v a l u e > < / i t e m > < i t e m > < k e y > < s t r i n g > T a r i f a   m a x     ( s i n   i m p u e s t o s ) < / s t r i n g > < / k e y > < v a l u e > < i n t > 4 1 < / i n t > < / v a l u e > < / i t e m > < i t e m > < k e y > < s t r i n g > R e n t a   m e n u s u a l   p r o m o c i o n a l   p o r   l a   c o n t r a t a c i � n   m a x     ( s i n   i m p u e s t o s ) < / s t r i n g > < / k e y > < v a l u e > < i n t > 4 2 < / i n t > < / v a l u e > < / i t e m > < i t e m > < k e y > < s t r i n g > T � r m i n o s   y   c o n d i c i o n e s 1 5 < / s t r i n g > < / k e y > < v a l u e > < i n t > 4 3 < / i n t > < / v a l u e > < / i t e m > < i t e m > < k e y > < s t r i n g > T a r i f a   P a r a m o u n t   +   ( s i n   i m p u e s t o s ) < / s t r i n g > < / k e y > < v a l u e > < i n t > 4 4 < / i n t > < / v a l u e > < / i t e m > < i t e m > < k e y > < s t r i n g > R e n t a   m e n u s u a l   p r o m o c i o n a l   p o r   l a   c o n t r a t a c i � n   P a r a m o u n t   +   ( s i n   i m p u e s t o s ) < / s t r i n g > < / k e y > < v a l u e > < i n t > 4 5 < / i n t > < / v a l u e > < / i t e m > < i t e m > < k e y > < s t r i n g > T � r m i n o s   y   c o n d i c i o n e s 1 6 < / s t r i n g > < / k e y > < v a l u e > < i n t > 4 6 < / i n t > < / v a l u e > < / i t e m > < i t e m > < k e y > < s t r i n g > T a r i f a   D i s n e y   +     ( s i n   i m p u e s t o s ) < / s t r i n g > < / k e y > < v a l u e > < i n t > 4 7 < / i n t > < / v a l u e > < / i t e m > < i t e m > < k e y > < s t r i n g > R e n t a   m e n u s u a l   p r o m o c i o n a l   p o r   l a   c o n t r a t a c i � n   D i s n e y   +     ( s i n   i m p u e s t o s ) < / s t r i n g > < / k e y > < v a l u e > < i n t > 4 8 < / i n t > < / v a l u e > < / i t e m > < i t e m > < k e y > < s t r i n g > T � r m i n o s   y   c o n d i c i o n e s 1 7 < / s t r i n g > < / k e y > < v a l u e > < i n t > 4 9 < / i n t > < / v a l u e > < / i t e m > < i t e m > < k e y > < s t r i n g > T a r i f a   S t a r   +     ( s i n   i m p u e s t o s ) < / s t r i n g > < / k e y > < v a l u e > < i n t > 5 0 < / i n t > < / v a l u e > < / i t e m > < i t e m > < k e y > < s t r i n g > R e n t a   m e n u s u a l   p r o m o c i o n a l   p o r   l a   c o n t r a t a c i � n   S t a r   +     ( s i n   i m p u e s t o s ) < / s t r i n g > < / k e y > < v a l u e > < i n t > 5 1 < / i n t > < / v a l u e > < / i t e m > < i t e m > < k e y > < s t r i n g > T � r m i n o s   y   c o n d i c i o n e s 1 8 < / s t r i n g > < / k e y > < v a l u e > < i n t > 5 2 < / i n t > < / v a l u e > < / i t e m > < i t e m > < k e y > < s t r i n g > T a r i f a   C o m b o   +   ( s i n   i m p u e s t o s ) < / s t r i n g > < / k e y > < v a l u e > < i n t > 5 3 < / i n t > < / v a l u e > < / i t e m > < i t e m > < k e y > < s t r i n g > R e n t a   m e n u s u a l   p r o m o c i o n a l   p o r   l a   c o n t r a t a c i � n   C o m b o   ( s i n   i m p u e s t o s ) < / s t r i n g > < / k e y > < v a l u e > < i n t > 5 4 < / i n t > < / v a l u e > < / i t e m > < i t e m > < k e y > < s t r i n g > T � r m i n o s   y   c o n d i c i o n e s 1 9 < / s t r i n g > < / k e y > < v a l u e > < i n t > 5 5 < / i n t > < / v a l u e > < / i t e m > < i t e m > < k e y > < s t r i n g > T a r i f a   F o x   S p o r t   P r e m i u m     ( s i n   i m p u e s t o s ) < / s t r i n g > < / k e y > < v a l u e > < i n t > 5 6 < / i n t > < / v a l u e > < / i t e m > < i t e m > < k e y > < s t r i n g > R e n t a   m e n u s u a l   p r o m o c i o n a l   p o r   l a   c o n t r a t a c i � n   F o x   S p o r t   P r e m i u m   ( s i n   i m p u e s t o s ) < / s t r i n g > < / k e y > < v a l u e > < i n t > 5 7 < / i n t > < / v a l u e > < / i t e m > < i t e m > < k e y > < s t r i n g > T � r m i n o s   y   c o n d i c i o n e s 2 0 < / s t r i n g > < / k e y > < v a l u e > < i n t > 5 8 < / 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5 d b d e 4 1 c - 8 6 8 1 - 4 4 3 8 - 8 f 4 e - f 2 2 a 4 2 f 2 c 0 4 6 " > < C u s t o m C o n t e n t > < ! [ C D A T A [ < ? x m l   v e r s i o n = " 1 . 0 "   e n c o d i n g = " u t f - 1 6 " ? > < S e t t i n g s > < C a l c u l a t e d F i e l d s > < i t e m > < M e a s u r e N a m e > M e d i a n a   R M   2 0 2 4 < / M e a s u r e N a m e > < D i s p l a y N a m e > M e d i a n a   R M   2 0 2 4 < / D i s p l a y N a m e > < V i s i b l e > F a l s e < / V i s i b l e > < / i t e m > < i t e m > < M e a s u r e N a m e > M e d i a n a   R M   2 0 2 3 < / M e a s u r e N a m e > < D i s p l a y N a m e > M e d i a n a   R M   2 0 2 3 < / D i s p l a y N a m e > < V i s i b l e > F a l s e < / V i s i b l e > < / i t e m > < / C a l c u l a t e d F i e l d s > < S A H o s t H a s h > 0 < / S A H o s t H a s h > < G e m i n i F i e l d L i s t V i s i b l e > T r u e < / G e m i n i F i e l d L i s t V i s i b l e > < / S e t t i n g s > ] ] > < / C u s t o m C o n t e n t > < / G e m i n i > 
</file>

<file path=customXml/item22.xml>��< ? x m l   v e r s i o n = " 1 . 0 "   e n c o d i n g = " U T F - 1 6 " ? > < G e m i n i   x m l n s = " h t t p : / / g e m i n i / p i v o t c u s t o m i z a t i o n / T a b l e X M L _ S u s c r i p t o r e s b " > < C u s t o m C o n t e n t > < ! [ C D A T A [ < T a b l e W i d g e t G r i d S e r i a l i z a t i o n   x m l n s : x s d = " h t t p : / / w w w . w 3 . o r g / 2 0 0 1 / X M L S c h e m a "   x m l n s : x s i = " h t t p : / / w w w . w 3 . o r g / 2 0 0 1 / X M L S c h e m a - i n s t a n c e " > < C o l u m n S u g g e s t e d T y p e   / > < C o l u m n F o r m a t   / > < C o l u m n A c c u r a c y   / > < C o l u m n C u r r e n c y S y m b o l   / > < C o l u m n P o s i t i v e P a t t e r n   / > < C o l u m n N e g a t i v e P a t t e r n   / > < C o l u m n W i d t h s > < i t e m > < k e y > < s t r i n g > N o m b r e   d e   P l a n / P a q u e t e < / s t r i n g > < / k e y > < v a l u e > < i n t > 1 9 4 < / i n t > < / v a l u e > < / i t e m > < i t e m > < k e y > < s t r i n g > T i p o * < / s t r i n g > < / k e y > < v a l u e > < i n t > 7 0 < / i n t > < / v a l u e > < / i t e m > < i t e m > < k e y > < s t r i n g > E s t a d o < / s t r i n g > < / k e y > < v a l u e > < i n t > 7 7 < / i n t > < / v a l u e > < / i t e m > < i t e m > < k e y > < s t r i n g > M u n i c i p i o < / s t r i n g > < / k e y > < v a l u e > < i n t > 9 8 < / i n t > < / v a l u e > < / i t e m > < i t e m > < k e y > < s t r i n g > L o c a l i d a d < / s t r i n g > < / k e y > < v a l u e > < i n t > 9 4 < / i n t > < / v a l u e > < / i t e m > < i t e m > < k e y > < s t r i n g > d i c i e m b r e   2 0 2 3 < / s t r i n g > < / k e y > < v a l u e > < i n t > 1 3 0 < / i n t > < / v a l u e > < / i t e m > < i t e m > < k e y > < s t r i n g > N o m b r e   d e   P l a n / P a q u e t e 2 < / s t r i n g > < / k e y > < v a l u e > < i n t > 2 0 1 < / i n t > < / v a l u e > < / i t e m > < i t e m > < k e y > < s t r i n g > T i p o * 3 < / s t r i n g > < / k e y > < v a l u e > < i n t > 7 7 < / i n t > < / v a l u e > < / i t e m > < i t e m > < k e y > < s t r i n g > E s t a d o 4 < / s t r i n g > < / k e y > < v a l u e > < i n t > 8 4 < / i n t > < / v a l u e > < / i t e m > < i t e m > < k e y > < s t r i n g > M u n i c i p i o 5 < / s t r i n g > < / k e y > < v a l u e > < i n t > 1 0 5 < / i n t > < / v a l u e > < / i t e m > < i t e m > < k e y > < s t r i n g > L o c a l i d a d 6 < / s t r i n g > < / k e y > < v a l u e > < i n t > 1 0 1 < / i n t > < / v a l u e > < / i t e m > < i t e m > < k e y > < s t r i n g > m a y o   2 0 2 4 < / s t r i n g > < / k e y > < v a l u e > < i n t > 1 0 1 < / i n t > < / v a l u e > < / i t e m > < / C o l u m n W i d t h s > < C o l u m n D i s p l a y I n d e x > < i t e m > < k e y > < s t r i n g > N o m b r e   d e   P l a n / P a q u e t e < / s t r i n g > < / k e y > < v a l u e > < i n t > 0 < / i n t > < / v a l u e > < / i t e m > < i t e m > < k e y > < s t r i n g > T i p o * < / s t r i n g > < / k e y > < v a l u e > < i n t > 1 < / i n t > < / v a l u e > < / i t e m > < i t e m > < k e y > < s t r i n g > E s t a d o < / s t r i n g > < / k e y > < v a l u e > < i n t > 2 < / i n t > < / v a l u e > < / i t e m > < i t e m > < k e y > < s t r i n g > M u n i c i p i o < / s t r i n g > < / k e y > < v a l u e > < i n t > 3 < / i n t > < / v a l u e > < / i t e m > < i t e m > < k e y > < s t r i n g > L o c a l i d a d < / s t r i n g > < / k e y > < v a l u e > < i n t > 4 < / i n t > < / v a l u e > < / i t e m > < i t e m > < k e y > < s t r i n g > d i c i e m b r e   2 0 2 3 < / s t r i n g > < / k e y > < v a l u e > < i n t > 5 < / i n t > < / v a l u e > < / i t e m > < i t e m > < k e y > < s t r i n g > N o m b r e   d e   P l a n / P a q u e t e 2 < / s t r i n g > < / k e y > < v a l u e > < i n t > 6 < / i n t > < / v a l u e > < / i t e m > < i t e m > < k e y > < s t r i n g > T i p o * 3 < / s t r i n g > < / k e y > < v a l u e > < i n t > 7 < / i n t > < / v a l u e > < / i t e m > < i t e m > < k e y > < s t r i n g > E s t a d o 4 < / s t r i n g > < / k e y > < v a l u e > < i n t > 8 < / i n t > < / v a l u e > < / i t e m > < i t e m > < k e y > < s t r i n g > M u n i c i p i o 5 < / s t r i n g > < / k e y > < v a l u e > < i n t > 9 < / i n t > < / v a l u e > < / i t e m > < i t e m > < k e y > < s t r i n g > L o c a l i d a d 6 < / s t r i n g > < / k e y > < v a l u e > < i n t > 1 0 < / i n t > < / v a l u e > < / i t e m > < i t e m > < k e y > < s t r i n g > m a y o   2 0 2 4 < / s t r i n g > < / k e y > < v a l u e > < i n t > 1 1 < / 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P o w e r P i v o t V e r s i o n " > < C u s t o m C o n t e n t > < ! [ C D A T A [ 2 0 1 5 . 1 3 0 . 1 6 0 5 . 1 5 6 7 ] ] > < / C u s t o m C o n t e n t > < / G e m i n i > 
</file>

<file path=customXml/item24.xml>��< ? x m l   v e r s i o n = " 1 . 0 "   e n c o d i n g = " U T F - 1 6 " ? > < G e m i n i   x m l n s = " h t t p : / / g e m i n i / p i v o t c u s t o m i z a t i o n / S h o w H i d d e n " > < C u s t o m C o n t e n t > < ! [ C D A T A [ T r u e ] ] > < / C u s t o m C o n t e n t > < / G e m i n i > 
</file>

<file path=customXml/item25.xml>��< ? x m l   v e r s i o n = " 1 . 0 "   e n c o d i n g = " U T F - 1 6 " ? > < G e m i n i   x m l n s = " h t t p : / / g e m i n i / p i v o t c u s t o m i z a t i o n / T a b l e O r d e r " > < C u s t o m C o n t e n t > < ! [ C D A T A [ T a r i f a s 2 0 2 3 , C a n a s t a 2 0 2 4 , T a r i f a s 2 0 2 4 , C a n a s t a 2 0 2 3 , S u s c r i p t o r e s a , S u s c r i p t o r e s b , S u s c r i p t o r e s c ] ] > < / C u s t o m C o n t e n t > < / G e m i n i > 
</file>

<file path=customXml/item2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 2 0 2 4 - 1 0 - 0 3 T 2 2 : 4 3 : 0 0 . 3 4 0 3 2 3 4 - 0 6 : 0 0 < / L a s t P r o c e s s e d T i m e > < / D a t a M o d e l i n g S a n d b o x . S e r i a l i z e d S a n d b o x E r r o r C a c h e > ] ] > < / C u s t o m C o n t e n t > < / G e m i n i > 
</file>

<file path=customXml/item27.xml><?xml version="1.0" encoding="utf-8"?>
<ct:contentTypeSchema xmlns:ct="http://schemas.microsoft.com/office/2006/metadata/contentType" xmlns:ma="http://schemas.microsoft.com/office/2006/metadata/properties/metaAttributes" ct:_="" ma:_="" ma:contentTypeName="Documento" ma:contentTypeID="0x01010050373C310612454E87FA67A34FACAE27" ma:contentTypeVersion="18" ma:contentTypeDescription="Crear nuevo documento." ma:contentTypeScope="" ma:versionID="3992aeb53b2f939112f13068294e4ab0">
  <xsd:schema xmlns:xsd="http://www.w3.org/2001/XMLSchema" xmlns:xs="http://www.w3.org/2001/XMLSchema" xmlns:p="http://schemas.microsoft.com/office/2006/metadata/properties" xmlns:ns3="f4027de5-4fa1-4b3b-b037-3c59b9ed5c3d" xmlns:ns4="0f9bfead-820e-4107-aaaf-47e5e77485e7" targetNamespace="http://schemas.microsoft.com/office/2006/metadata/properties" ma:root="true" ma:fieldsID="28f8b3dca421e4bd0f1244b49d56a244" ns3:_="" ns4:_="">
    <xsd:import namespace="f4027de5-4fa1-4b3b-b037-3c59b9ed5c3d"/>
    <xsd:import namespace="0f9bfead-820e-4107-aaaf-47e5e77485e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SharedWithUsers" minOccurs="0"/>
                <xsd:element ref="ns4:SharedWithDetails" minOccurs="0"/>
                <xsd:element ref="ns4:SharingHintHash"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027de5-4fa1-4b3b-b037-3c59b9ed5c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f9bfead-820e-4107-aaaf-47e5e77485e7" elementFormDefault="qualified">
    <xsd:import namespace="http://schemas.microsoft.com/office/2006/documentManagement/types"/>
    <xsd:import namespace="http://schemas.microsoft.com/office/infopath/2007/PartnerControls"/>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element name="SharingHintHash" ma:index="21"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8.xml><?xml version="1.0" encoding="utf-8"?>
<?mso-contentType ?>
<FormTemplates xmlns="http://schemas.microsoft.com/sharepoint/v3/contenttype/forms">
  <Display>DocumentLibraryForm</Display>
  <Edit>DocumentLibraryForm</Edit>
  <New>DocumentLibraryForm</New>
</FormTemplates>
</file>

<file path=customXml/item29.xml><?xml version="1.0" encoding="utf-8"?>
<p:properties xmlns:p="http://schemas.microsoft.com/office/2006/metadata/properties" xmlns:xsi="http://www.w3.org/2001/XMLSchema-instance" xmlns:pc="http://schemas.microsoft.com/office/infopath/2007/PartnerControls">
  <documentManagement>
    <_activity xmlns="f4027de5-4fa1-4b3b-b037-3c59b9ed5c3d" xsi:nil="true"/>
  </documentManagement>
</p:properties>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 T a r i f a s 2 0 2 3 < / K e y > < V a l u e   x m l n s : a = " h t t p : / / s c h e m a s . d a t a c o n t r a c t . o r g / 2 0 0 4 / 0 7 / M i c r o s o f t . A n a l y s i s S e r v i c e s . C o m m o n " > < a : H a s F o c u s > t r u e < / a : H a s F o c u s > < a : S i z e A t D p i 9 6 > 1 1 3 < / a : S i z e A t D p i 9 6 > < a : V i s i b l e > t r u e < / a : V i s i b l e > < / V a l u e > < / K e y V a l u e O f s t r i n g S a n d b o x E d i t o r . M e a s u r e G r i d S t a t e S c d E 3 5 R y > < K e y V a l u e O f s t r i n g S a n d b o x E d i t o r . M e a s u r e G r i d S t a t e S c d E 3 5 R y > < K e y > C a n a s t a 2 0 2 4 < / K e y > < V a l u e   x m l n s : a = " h t t p : / / s c h e m a s . d a t a c o n t r a c t . o r g / 2 0 0 4 / 0 7 / M i c r o s o f t . A n a l y s i s S e r v i c e s . C o m m o n " > < a : H a s F o c u s > t r u e < / a : H a s F o c u s > < a : S i z e A t D p i 9 6 > 1 1 3 < / a : S i z e A t D p i 9 6 > < a : V i s i b l e > t r u e < / a : V i s i b l e > < / V a l u e > < / K e y V a l u e O f s t r i n g S a n d b o x E d i t o r . M e a s u r e G r i d S t a t e S c d E 3 5 R y > < K e y V a l u e O f s t r i n g S a n d b o x E d i t o r . M e a s u r e G r i d S t a t e S c d E 3 5 R y > < K e y > T a r i f a s 2 0 2 4 < / K e y > < V a l u e   x m l n s : a = " h t t p : / / s c h e m a s . d a t a c o n t r a c t . o r g / 2 0 0 4 / 0 7 / M i c r o s o f t . A n a l y s i s S e r v i c e s . C o m m o n " > < a : H a s F o c u s > t r u e < / a : H a s F o c u s > < a : S i z e A t D p i 9 6 > 1 1 3 < / a : S i z e A t D p i 9 6 > < a : V i s i b l e > t r u e < / a : V i s i b l e > < / V a l u e > < / K e y V a l u e O f s t r i n g S a n d b o x E d i t o r . M e a s u r e G r i d S t a t e S c d E 3 5 R y > < K e y V a l u e O f s t r i n g S a n d b o x E d i t o r . M e a s u r e G r i d S t a t e S c d E 3 5 R y > < K e y > C a n a s t a 2 0 2 3 < / K e y > < V a l u e   x m l n s : a = " h t t p : / / s c h e m a s . d a t a c o n t r a c t . o r g / 2 0 0 4 / 0 7 / M i c r o s o f t . A n a l y s i s S e r v i c e s . C o m m o n " > < a : H a s F o c u s > t r u e < / a : H a s F o c u s > < a : S i z e A t D p i 9 6 > 1 1 3 < / a : S i z e A t D p i 9 6 > < a : V i s i b l e > t r u e < / a : V i s i b l e > < / V a l u e > < / K e y V a l u e O f s t r i n g S a n d b o x E d i t o r . M e a s u r e G r i d S t a t e S c d E 3 5 R y > < K e y V a l u e O f s t r i n g S a n d b o x E d i t o r . M e a s u r e G r i d S t a t e S c d E 3 5 R y > < K e y > S u s c r i p t o r e s a < / K e y > < V a l u e   x m l n s : a = " h t t p : / / s c h e m a s . d a t a c o n t r a c t . o r g / 2 0 0 4 / 0 7 / M i c r o s o f t . A n a l y s i s S e r v i c e s . C o m m o n " > < a : H a s F o c u s > t r u e < / a : H a s F o c u s > < a : S i z e A t D p i 9 6 > 1 1 3 < / a : S i z e A t D p i 9 6 > < a : V i s i b l e > t r u e < / a : V i s i b l e > < / V a l u e > < / K e y V a l u e O f s t r i n g S a n d b o x E d i t o r . M e a s u r e G r i d S t a t e S c d E 3 5 R y > < K e y V a l u e O f s t r i n g S a n d b o x E d i t o r . M e a s u r e G r i d S t a t e S c d E 3 5 R y > < K e y > S u s c r i p t o r e s b < / K e y > < V a l u e   x m l n s : a = " h t t p : / / s c h e m a s . d a t a c o n t r a c t . o r g / 2 0 0 4 / 0 7 / M i c r o s o f t . A n a l y s i s S e r v i c e s . C o m m o n " > < a : H a s F o c u s > t r u e < / a : H a s F o c u s > < a : S i z e A t D p i 9 6 > 1 1 3 < / a : S i z e A t D p i 9 6 > < a : V i s i b l e > t r u e < / a : V i s i b l e > < / V a l u e > < / K e y V a l u e O f s t r i n g S a n d b o x E d i t o r . M e a s u r e G r i d S t a t e S c d E 3 5 R y > < K e y V a l u e O f s t r i n g S a n d b o x E d i t o r . M e a s u r e G r i d S t a t e S c d E 3 5 R y > < K e y > S u s c r i p t o r e s c < / 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xml>��< ? x m l   v e r s i o n = " 1 . 0 "   e n c o d i n g = " U T F - 1 6 " ? > < G e m i n i   x m l n s = " h t t p : / / g e m i n i / p i v o t c u s t o m i z a t i o n / T a b l e X M L _ T a r i f a s 2 0 2 3 " > < C u s t o m C o n t e n t > < ! [ C D A T A [ < T a b l e W i d g e t G r i d S e r i a l i z a t i o n   x m l n s : x s d = " h t t p : / / w w w . w 3 . o r g / 2 0 0 1 / X M L S c h e m a "   x m l n s : x s i = " h t t p : / / w w w . w 3 . o r g / 2 0 0 1 / X M L S c h e m a - i n s t a n c e " > < C o l u m n S u g g e s t e d T y p e   / > < C o l u m n F o r m a t   / > < C o l u m n A c c u r a c y   / > < C o l u m n C u r r e n c y S y m b o l   / > < C o l u m n P o s i t i v e P a t t e r n   / > < C o l u m n N e g a t i v e P a t t e r n   / > < C o l u m n W i d t h s > < i t e m > < k e y > < s t r i n g > N o m b r e   d e   P l a n / P a q u e t e < / s t r i n g > < / k e y > < v a l u e > < i n t > 1 9 4 < / i n t > < / v a l u e > < / i t e m > < i t e m > < k e y > < s t r i n g > T i p o * < / s t r i n g > < / k e y > < v a l u e > < i n t > 7 0 < / i n t > < / v a l u e > < / i t e m > < i t e m > < k e y > < s t r i n g > T i p o   d e   p a q u e t e   c o n s i d e r a n d o   S T A R   ( s e r v i c i o s   i n c l u i d o s ) * < / s t r i n g > < / k e y > < v a l u e > < i n t > 3 9 0 < / i n t > < / v a l u e > < / i t e m > < i t e m > < k e y > < s t r i n g > E s q u e m a * < / s t r i n g > < / k e y > < v a l u e > < i n t > 9 9 < / i n t > < / v a l u e > < / i t e m > < i t e m > < k e y > < s t r i n g > P e r i o d o   d e   p a g o < / s t r i n g > < / k e y > < v a l u e > < i n t > 1 3 7 < / i n t > < / v a l u e > < / i t e m > < i t e m > < k e y > < s t r i n g > E s t a d o < / s t r i n g > < / k e y > < v a l u e > < i n t > 7 7 < / i n t > < / v a l u e > < / i t e m > < i t e m > < k e y > < s t r i n g > M u n i c i p i o < / s t r i n g > < / k e y > < v a l u e > < i n t > 9 8 < / i n t > < / v a l u e > < / i t e m > < i t e m > < k e y > < s t r i n g > L o c a l i d a d < / s t r i n g > < / k e y > < v a l u e > < i n t > 9 4 < / i n t > < / v a l u e > < / i t e m > < i t e m > < k e y > < s t r i n g > F o l i o   R P C < / s t r i n g > < / k e y > < v a l u e > < i n t > 9 4 < / i n t > < / v a l u e > < / i t e m > < i t e m > < k e y > < s t r i n g > R e n t a   m e n s u a l   ( s i n   i m p u e s t o s ) < / s t r i n g > < / k e y > < v a l u e > < i n t > 2 2 7 < / i n t > < / v a l u e > < / i t e m > < i t e m > < k e y > < s t r i n g > R e n t a   m e n s u a l     ( c o n   i m p u e s t o s ) < / s t r i n g > < / k e y > < v a l u e > < i n t > 2 3 4 < / i n t > < / v a l u e > < / i t e m > < i t e m > < k e y > < s t r i n g > � T i e n e   p r o m o c i o n e s   a s o c i a d a s   a l   p a q u e t e   q u e   a j u s t e n   l a   t a r i f a   d e   l a   r e n t a   m e n s u a l ?   ( S i / N o ) < / s t r i n g > < / k e y > < v a l u e > < i n t > 5 9 8 < / i n t > < / v a l u e > < / i t e m > < i t e m > < k e y > < s t r i n g > P r o m o c i � n   d e   " D e s c u e n t o   d e   s u   m e n s u a l i d a d "   p o r   u n   p e r i o d o   e s p e c � f i c o < / s t r i n g > < / k e y > < v a l u e > < i n t > 4 8 1 < / i n t > < / v a l u e > < / i t e m > < i t e m > < k e y > < s t r i n g > R e n t a   m e n s u a l   c o n   t a r i f a   p r o m o c i o n a l   ( s i n   i m p u e s t o s ) < / s t r i n g > < / k e y > < v a l u e > < i n t > 3 6 9 < / i n t > < / v a l u e > < / i t e m > < i t e m > < k e y > < s t r i n g > D u r a c i � n   d e   l a   p r o m o c i � n   ( e n   m e s e s ) < / s t r i n g > < / k e y > < v a l u e > < i n t > 2 6 6 < / i n t > < / v a l u e > < / i t e m > < i t e m > < k e y > < s t r i n g > T � r m i n o s   y   c o n d i c i o n e s < / s t r i n g > < / k e y > < v a l u e > < i n t > 1 8 0 < / i n t > < / v a l u e > < / i t e m > < i t e m > < k e y > < s t r i n g > P r o m o c i � n   p o r   " D o m i c i l i a c i � n "   d e   l a   r e n t a   m e n s u a l < / s t r i n g > < / k e y > < v a l u e > < i n t > 3 5 1 < / i n t > < / v a l u e > < / i t e m > < i t e m > < k e y > < s t r i n g > R e n t a   m e n u s u a l   c o n   t a r i f a   p r o m o c i o n a l   ( s i n   i m p u e s t o s ) < / s t r i n g > < / k e y > < v a l u e > < i n t > 3 7 7 < / i n t > < / v a l u e > < / i t e m > < i t e m > < k e y > < s t r i n g > D u r a c i � n   d e   l a   p r o m o c i � n   ( e n   m e s e s ) 2 < / s t r i n g > < / k e y > < v a l u e > < i n t > 2 7 3 < / i n t > < / v a l u e > < / i t e m > < i t e m > < k e y > < s t r i n g > T � r m i n o s   y   c o n d i c i o n e s 3 < / s t r i n g > < / k e y > < v a l u e > < i n t > 1 8 7 < / i n t > < / v a l u e > < / i t e m > < i t e m > < k e y > < s t r i n g > P r o m o c i � n   p o r   " A n u a l i d a d " < / s t r i n g > < / k e y > < v a l u e > < i n t > 2 0 5 < / i n t > < / v a l u e > < / i t e m > < i t e m > < k e y > < s t r i n g > R e n t a   m e n u s u a l   c o n   t a r i f a   p r o m o c i o n a l   ( s i n   i m p u e s t o s ) 4 < / s t r i n g > < / k e y > < v a l u e > < i n t > 3 8 4 < / i n t > < / v a l u e > < / i t e m > < i t e m > < k e y > < s t r i n g > D u r a c i � n   d e   l a   p r o m o c i � n   ( e n   m e s e s ) 5 < / s t r i n g > < / k e y > < v a l u e > < i n t > 2 7 3 < / i n t > < / v a l u e > < / i t e m > < i t e m > < k e y > < s t r i n g > T � r m i n o s   y   c o n d i c i o n e s 6 < / s t r i n g > < / k e y > < v a l u e > < i n t > 1 8 7 < / i n t > < / v a l u e > < / i t e m > < i t e m > < k e y > < s t r i n g > P r o m o c i � n   p o r   " C l i e n t e   a c t u a l   d e   T V " < / s t r i n g > < / k e y > < v a l u e > < i n t > 2 6 5 < / i n t > < / v a l u e > < / i t e m > < i t e m > < k e y > < s t r i n g > R e n t a   m e n u s u a l   c o n   t a r i f a   p r o m o c i o n a l   ( s i n   i m p u e s t o s ) 7 < / s t r i n g > < / k e y > < v a l u e > < i n t > 3 8 4 < / i n t > < / v a l u e > < / i t e m > < i t e m > < k e y > < s t r i n g > D u r a c i � n   d e   l a   p r o m o c i � n   ( e n   m e s e s ) 8 < / s t r i n g > < / k e y > < v a l u e > < i n t > 2 7 3 < / i n t > < / v a l u e > < / i t e m > < i t e m > < k e y > < s t r i n g > T � r m i n o s   y   c o n d i c i o n e s 9 < / s t r i n g > < / k e y > < v a l u e > < i n t > 1 8 7 < / i n t > < / v a l u e > < / i t e m > < i t e m > < k e y > < s t r i n g > � C u e n t a   c o n   i n c e n t i v o s   p r o m o c i o n a l e s   p o r   l a   c o n t r a t a c i � n   d e   a l g � n   s e r v i c i o   O T T   q u e   a j u s t e   e l   m o n t o   d < / s t r i n g > < / k e y > < v a l u e > < i n t > 6 6 3 < / i n t > < / v a l u e > < / i t e m > < i t e m > < k e y > < s t r i n g > T a r i f a   N e t f l i x   E s t � n d a r   c o n   a n u n c i o s   ( s i n   i m p u e s t o s ) < / s t r i n g > < / k e y > < v a l u e > < i n t > 3 5 3 < / i n t > < / v a l u e > < / i t e m > < i t e m > < k e y > < s t r i n g > R e n t a   m e n u s u a l   p r o m o c i o n a l   p o r   l a   c o n t r a t a c i � n   d e l   N e t f l i x   E s t � n d a r   c o n   a n u n c i o s   ( s i n   i m p u e s t o s ) < / s t r i n g > < / k e y > < v a l u e > < i n t > 6 4 1 < / i n t > < / v a l u e > < / i t e m > < i t e m > < k e y > < s t r i n g > T � r m i n o s   y   c o n d i c i o n e s 1 0 < / s t r i n g > < / k e y > < v a l u e > < i n t > 1 9 4 < / i n t > < / v a l u e > < / i t e m > < i t e m > < k e y > < s t r i n g > T a r i f a   N e t f l i x   E s t � n d a r   ( s i n   i m p u e s t o s ) < / s t r i n g > < / k e y > < v a l u e > < i n t > 2 7 0 < / i n t > < / v a l u e > < / i t e m > < i t e m > < k e y > < s t r i n g > R e n t a   m e n u s u a l   p r o m o c i o n a l   p o r   l a   c o n t r a t a c i � n   d e l   N e t f l i x   E s t � n d a r   ( s i n   i m p u e s t o s ) < / s t r i n g > < / k e y > < v a l u e > < i n t > 5 5 8 < / i n t > < / v a l u e > < / i t e m > < i t e m > < k e y > < s t r i n g > T � r m i n o s   y   c o n d i c i o n e s 1 1 < / s t r i n g > < / k e y > < v a l u e > < i n t > 1 9 4 < / i n t > < / v a l u e > < / i t e m > < i t e m > < k e y > < s t r i n g > T a r i f a   N e t f l i x   P r e m i u m   ( s i n   i m p u e s t o s ) < / s t r i n g > < / k e y > < v a l u e > < i n t > 2 7 4 < / i n t > < / v a l u e > < / i t e m > < i t e m > < k e y > < s t r i n g > R e n t a   m e n u s u a l   p r o m o c i o n a l   p o r   l a   c o n t r a t a c i � n   d e l   N e t f l i x   P r e m i u m   ( s i n   i m p u e s t o s ) < / s t r i n g > < / k e y > < v a l u e > < i n t > 5 6 2 < / i n t > < / v a l u e > < / i t e m > < i t e m > < k e y > < s t r i n g > T � r m i n o s   y   c o n d i c i o n e s 1 2 < / s t r i n g > < / k e y > < v a l u e > < i n t > 1 9 4 < / i n t > < / v a l u e > < / i t e m > < i t e m > < k e y > < s t r i n g > T a r i f a   A m a z o n   P r i m e   ( s i n   i m p u e s t o s ) < / s t r i n g > < / k e y > < v a l u e > < i n t > 2 6 2 < / i n t > < / v a l u e > < / i t e m > < i t e m > < k e y > < s t r i n g > R e n t a   m e n u s u a l   p r o m o c i o n a l   p o r   l a   c o n t r a t a c i � n   P r i m e   V i d e o   ( s i n   i m p u e s t o s ) < / s t r i n g > < / k e y > < v a l u e > < i n t > 5 1 4 < / i n t > < / v a l u e > < / i t e m > < i t e m > < k e y > < s t r i n g > T � r m i n o s   y   c o n d i c i o n e s 1 3 < / s t r i n g > < / k e y > < v a l u e > < i n t > 1 9 4 < / i n t > < / v a l u e > < / i t e m > < i t e m > < k e y > < s t r i n g > T a r i f a   m a x     ( s i n   i m p u e s t o s ) < / s t r i n g > < / k e y > < v a l u e > < i n t > 2 0 1 < / i n t > < / v a l u e > < / i t e m > < i t e m > < k e y > < s t r i n g > R e n t a   m e n u s u a l   p r o m o c i o n a l   p o r   l a   c o n t r a t a c i � n   m a x     ( s i n   i m p u e s t o s ) < / s t r i n g > < / k e y > < v a l u e > < i n t > 4 6 6 < / i n t > < / v a l u e > < / i t e m > < i t e m > < k e y > < s t r i n g > T � r m i n o s   y   c o n d i c i o n e s 1 4 < / s t r i n g > < / k e y > < v a l u e > < i n t > 1 9 4 < / i n t > < / v a l u e > < / i t e m > < i t e m > < k e y > < s t r i n g > T a r i f a   P a r a m o u n t   +   ( s i n   i m p u e s t o s ) < / s t r i n g > < / k e y > < v a l u e > < i n t > 2 5 0 < / i n t > < / v a l u e > < / i t e m > < i t e m > < k e y > < s t r i n g > R e n t a   m e n u s u a l   p r o m o c i o n a l   p o r   l a   c o n t r a t a c i � n   P a r a m o u n t   +   ( s i n   i m p u e s t o s ) < / s t r i n g > < / k e y > < v a l u e > < i n t > 5 1 5 < / i n t > < / v a l u e > < / i t e m > < i t e m > < k e y > < s t r i n g > T � r m i n o s   y   c o n d i c i o n e s 1 5 < / s t r i n g > < / k e y > < v a l u e > < i n t > 1 9 4 < / i n t > < / v a l u e > < / i t e m > < i t e m > < k e y > < s t r i n g > T a r i f a   D i s n e y   +     ( s i n   i m p u e s t o s ) < / s t r i n g > < / k e y > < v a l u e > < i n t > 2 2 7 < / i n t > < / v a l u e > < / i t e m > < i t e m > < k e y > < s t r i n g > R e n t a   m e n u s u a l   p r o m o c i o n a l   p o r   l a   c o n t r a t a c i � n   D i s n e y   +     ( s i n   i m p u e s t o s ) < / s t r i n g > < / k e y > < v a l u e > < i n t > 4 9 2 < / i n t > < / v a l u e > < / i t e m > < i t e m > < k e y > < s t r i n g > T � r m i n o s   y   c o n d i c i o n e s 1 6 < / s t r i n g > < / k e y > < v a l u e > < i n t > 1 9 4 < / i n t > < / v a l u e > < / i t e m > < i t e m > < k e y > < s t r i n g > T a r i f a   S t a r   +     ( s i n   i m p u e s t o s ) < / s t r i n g > < / k e y > < v a l u e > < i n t > 2 0 9 < / i n t > < / v a l u e > < / i t e m > < i t e m > < k e y > < s t r i n g > R e n t a   m e n u s u a l   p r o m o c i o n a l   p o r   l a   c o n t r a t a c i � n   S t a r   +     ( s i n   i m p u e s t o s ) < / s t r i n g > < / k e y > < v a l u e > < i n t > 4 7 4 < / i n t > < / v a l u e > < / i t e m > < i t e m > < k e y > < s t r i n g > T � r m i n o s   y   c o n d i c i o n e s 1 7 < / s t r i n g > < / k e y > < v a l u e > < i n t > 1 9 4 < / i n t > < / v a l u e > < / i t e m > < i t e m > < k e y > < s t r i n g > T a r i f a   C o m b o   +   ( s i n   i m p u e s t o s ) < / s t r i n g > < / k e y > < v a l u e > < i n t > 2 2 6 < / i n t > < / v a l u e > < / i t e m > < i t e m > < k e y > < s t r i n g > R e n t a   m e n u s u a l   p r o m o c i o n a l   p o r   l a   c o n t r a t a c i � n   C o m b o   ( s i n   i m p u e s t o s ) < / s t r i n g > < / k e y > < v a l u e > < i n t > 4 8 1 < / i n t > < / v a l u e > < / i t e m > < i t e m > < k e y > < s t r i n g > T � r m i n o s   y   c o n d i c i o n e s 1 8 < / s t r i n g > < / k e y > < v a l u e > < i n t > 1 9 4 < / i n t > < / v a l u e > < / i t e m > < i t e m > < k e y > < s t r i n g > T a r i f a   F o x   S p o r t   P r e m i u m     ( s i n   i m p u e s t o s ) < / s t r i n g > < / k e y > < v a l u e > < i n t > 2 9 3 < / i n t > < / v a l u e > < / i t e m > < i t e m > < k e y > < s t r i n g > R e n t a   m e n u s u a l   p r o m o c i o n a l   p o r   l a   c o n t r a t a c i � n   F o x   S p o r t   P r e m i u m   ( s i n   i m p u e s t o s ) < / s t r i n g > < / k e y > < v a l u e > < i n t > 5 5 5 < / i n t > < / v a l u e > < / i t e m > < i t e m > < k e y > < s t r i n g > T � r m i n o s   y   c o n d i c i o n e s 1 9 < / s t r i n g > < / k e y > < v a l u e > < i n t > 1 9 4 < / i n t > < / v a l u e > < / i t e m > < / C o l u m n W i d t h s > < C o l u m n D i s p l a y I n d e x > < i t e m > < k e y > < s t r i n g > N o m b r e   d e   P l a n / P a q u e t e < / s t r i n g > < / k e y > < v a l u e > < i n t > 0 < / i n t > < / v a l u e > < / i t e m > < i t e m > < k e y > < s t r i n g > T i p o * < / s t r i n g > < / k e y > < v a l u e > < i n t > 1 < / i n t > < / v a l u e > < / i t e m > < i t e m > < k e y > < s t r i n g > T i p o   d e   p a q u e t e   c o n s i d e r a n d o   S T A R   ( s e r v i c i o s   i n c l u i d o s ) * < / s t r i n g > < / k e y > < v a l u e > < i n t > 2 < / i n t > < / v a l u e > < / i t e m > < i t e m > < k e y > < s t r i n g > E s q u e m a * < / s t r i n g > < / k e y > < v a l u e > < i n t > 3 < / i n t > < / v a l u e > < / i t e m > < i t e m > < k e y > < s t r i n g > P e r i o d o   d e   p a g o < / s t r i n g > < / k e y > < v a l u e > < i n t > 4 < / i n t > < / v a l u e > < / i t e m > < i t e m > < k e y > < s t r i n g > E s t a d o < / s t r i n g > < / k e y > < v a l u e > < i n t > 5 < / i n t > < / v a l u e > < / i t e m > < i t e m > < k e y > < s t r i n g > M u n i c i p i o < / s t r i n g > < / k e y > < v a l u e > < i n t > 6 < / i n t > < / v a l u e > < / i t e m > < i t e m > < k e y > < s t r i n g > L o c a l i d a d < / s t r i n g > < / k e y > < v a l u e > < i n t > 7 < / i n t > < / v a l u e > < / i t e m > < i t e m > < k e y > < s t r i n g > F o l i o   R P C < / s t r i n g > < / k e y > < v a l u e > < i n t > 8 < / i n t > < / v a l u e > < / i t e m > < i t e m > < k e y > < s t r i n g > R e n t a   m e n s u a l   ( s i n   i m p u e s t o s ) < / s t r i n g > < / k e y > < v a l u e > < i n t > 9 < / i n t > < / v a l u e > < / i t e m > < i t e m > < k e y > < s t r i n g > R e n t a   m e n s u a l     ( c o n   i m p u e s t o s ) < / s t r i n g > < / k e y > < v a l u e > < i n t > 1 0 < / i n t > < / v a l u e > < / i t e m > < i t e m > < k e y > < s t r i n g > � T i e n e   p r o m o c i o n e s   a s o c i a d a s   a l   p a q u e t e   q u e   a j u s t e n   l a   t a r i f a   d e   l a   r e n t a   m e n s u a l ?   ( S i / N o ) < / s t r i n g > < / k e y > < v a l u e > < i n t > 1 1 < / i n t > < / v a l u e > < / i t e m > < i t e m > < k e y > < s t r i n g > P r o m o c i � n   d e   " D e s c u e n t o   d e   s u   m e n s u a l i d a d "   p o r   u n   p e r i o d o   e s p e c � f i c o < / s t r i n g > < / k e y > < v a l u e > < i n t > 1 2 < / i n t > < / v a l u e > < / i t e m > < i t e m > < k e y > < s t r i n g > R e n t a   m e n s u a l   c o n   t a r i f a   p r o m o c i o n a l   ( s i n   i m p u e s t o s ) < / s t r i n g > < / k e y > < v a l u e > < i n t > 1 3 < / i n t > < / v a l u e > < / i t e m > < i t e m > < k e y > < s t r i n g > D u r a c i � n   d e   l a   p r o m o c i � n   ( e n   m e s e s ) < / s t r i n g > < / k e y > < v a l u e > < i n t > 1 4 < / i n t > < / v a l u e > < / i t e m > < i t e m > < k e y > < s t r i n g > T � r m i n o s   y   c o n d i c i o n e s < / s t r i n g > < / k e y > < v a l u e > < i n t > 1 5 < / i n t > < / v a l u e > < / i t e m > < i t e m > < k e y > < s t r i n g > P r o m o c i � n   p o r   " D o m i c i l i a c i � n "   d e   l a   r e n t a   m e n s u a l < / s t r i n g > < / k e y > < v a l u e > < i n t > 1 6 < / i n t > < / v a l u e > < / i t e m > < i t e m > < k e y > < s t r i n g > R e n t a   m e n u s u a l   c o n   t a r i f a   p r o m o c i o n a l   ( s i n   i m p u e s t o s ) < / s t r i n g > < / k e y > < v a l u e > < i n t > 1 7 < / i n t > < / v a l u e > < / i t e m > < i t e m > < k e y > < s t r i n g > D u r a c i � n   d e   l a   p r o m o c i � n   ( e n   m e s e s ) 2 < / s t r i n g > < / k e y > < v a l u e > < i n t > 1 8 < / i n t > < / v a l u e > < / i t e m > < i t e m > < k e y > < s t r i n g > T � r m i n o s   y   c o n d i c i o n e s 3 < / s t r i n g > < / k e y > < v a l u e > < i n t > 1 9 < / i n t > < / v a l u e > < / i t e m > < i t e m > < k e y > < s t r i n g > P r o m o c i � n   p o r   " A n u a l i d a d " < / s t r i n g > < / k e y > < v a l u e > < i n t > 2 0 < / i n t > < / v a l u e > < / i t e m > < i t e m > < k e y > < s t r i n g > R e n t a   m e n u s u a l   c o n   t a r i f a   p r o m o c i o n a l   ( s i n   i m p u e s t o s ) 4 < / s t r i n g > < / k e y > < v a l u e > < i n t > 2 1 < / i n t > < / v a l u e > < / i t e m > < i t e m > < k e y > < s t r i n g > D u r a c i � n   d e   l a   p r o m o c i � n   ( e n   m e s e s ) 5 < / s t r i n g > < / k e y > < v a l u e > < i n t > 2 2 < / i n t > < / v a l u e > < / i t e m > < i t e m > < k e y > < s t r i n g > T � r m i n o s   y   c o n d i c i o n e s 6 < / s t r i n g > < / k e y > < v a l u e > < i n t > 2 3 < / i n t > < / v a l u e > < / i t e m > < i t e m > < k e y > < s t r i n g > P r o m o c i � n   p o r   " C l i e n t e   a c t u a l   d e   T V " < / s t r i n g > < / k e y > < v a l u e > < i n t > 2 4 < / i n t > < / v a l u e > < / i t e m > < i t e m > < k e y > < s t r i n g > R e n t a   m e n u s u a l   c o n   t a r i f a   p r o m o c i o n a l   ( s i n   i m p u e s t o s ) 7 < / s t r i n g > < / k e y > < v a l u e > < i n t > 2 5 < / i n t > < / v a l u e > < / i t e m > < i t e m > < k e y > < s t r i n g > D u r a c i � n   d e   l a   p r o m o c i � n   ( e n   m e s e s ) 8 < / s t r i n g > < / k e y > < v a l u e > < i n t > 2 6 < / i n t > < / v a l u e > < / i t e m > < i t e m > < k e y > < s t r i n g > T � r m i n o s   y   c o n d i c i o n e s 9 < / s t r i n g > < / k e y > < v a l u e > < i n t > 2 7 < / i n t > < / v a l u e > < / i t e m > < i t e m > < k e y > < s t r i n g > � C u e n t a   c o n   i n c e n t i v o s   p r o m o c i o n a l e s   p o r   l a   c o n t r a t a c i � n   d e   a l g � n   s e r v i c i o   O T T   q u e   a j u s t e   e l   m o n t o   d < / s t r i n g > < / k e y > < v a l u e > < i n t > 2 8 < / i n t > < / v a l u e > < / i t e m > < i t e m > < k e y > < s t r i n g > T a r i f a   N e t f l i x   E s t � n d a r   c o n   a n u n c i o s   ( s i n   i m p u e s t o s ) < / s t r i n g > < / k e y > < v a l u e > < i n t > 2 9 < / i n t > < / v a l u e > < / i t e m > < i t e m > < k e y > < s t r i n g > R e n t a   m e n u s u a l   p r o m o c i o n a l   p o r   l a   c o n t r a t a c i � n   d e l   N e t f l i x   E s t � n d a r   c o n   a n u n c i o s   ( s i n   i m p u e s t o s ) < / s t r i n g > < / k e y > < v a l u e > < i n t > 3 0 < / i n t > < / v a l u e > < / i t e m > < i t e m > < k e y > < s t r i n g > T � r m i n o s   y   c o n d i c i o n e s 1 0 < / s t r i n g > < / k e y > < v a l u e > < i n t > 3 1 < / i n t > < / v a l u e > < / i t e m > < i t e m > < k e y > < s t r i n g > T a r i f a   N e t f l i x   E s t � n d a r   ( s i n   i m p u e s t o s ) < / s t r i n g > < / k e y > < v a l u e > < i n t > 3 2 < / i n t > < / v a l u e > < / i t e m > < i t e m > < k e y > < s t r i n g > R e n t a   m e n u s u a l   p r o m o c i o n a l   p o r   l a   c o n t r a t a c i � n   d e l   N e t f l i x   E s t � n d a r   ( s i n   i m p u e s t o s ) < / s t r i n g > < / k e y > < v a l u e > < i n t > 3 3 < / i n t > < / v a l u e > < / i t e m > < i t e m > < k e y > < s t r i n g > T � r m i n o s   y   c o n d i c i o n e s 1 1 < / s t r i n g > < / k e y > < v a l u e > < i n t > 3 4 < / i n t > < / v a l u e > < / i t e m > < i t e m > < k e y > < s t r i n g > T a r i f a   N e t f l i x   P r e m i u m   ( s i n   i m p u e s t o s ) < / s t r i n g > < / k e y > < v a l u e > < i n t > 3 5 < / i n t > < / v a l u e > < / i t e m > < i t e m > < k e y > < s t r i n g > R e n t a   m e n u s u a l   p r o m o c i o n a l   p o r   l a   c o n t r a t a c i � n   d e l   N e t f l i x   P r e m i u m   ( s i n   i m p u e s t o s ) < / s t r i n g > < / k e y > < v a l u e > < i n t > 3 6 < / i n t > < / v a l u e > < / i t e m > < i t e m > < k e y > < s t r i n g > T � r m i n o s   y   c o n d i c i o n e s 1 2 < / s t r i n g > < / k e y > < v a l u e > < i n t > 3 7 < / i n t > < / v a l u e > < / i t e m > < i t e m > < k e y > < s t r i n g > T a r i f a   A m a z o n   P r i m e   ( s i n   i m p u e s t o s ) < / s t r i n g > < / k e y > < v a l u e > < i n t > 3 8 < / i n t > < / v a l u e > < / i t e m > < i t e m > < k e y > < s t r i n g > R e n t a   m e n u s u a l   p r o m o c i o n a l   p o r   l a   c o n t r a t a c i � n   P r i m e   V i d e o   ( s i n   i m p u e s t o s ) < / s t r i n g > < / k e y > < v a l u e > < i n t > 3 9 < / i n t > < / v a l u e > < / i t e m > < i t e m > < k e y > < s t r i n g > T � r m i n o s   y   c o n d i c i o n e s 1 3 < / s t r i n g > < / k e y > < v a l u e > < i n t > 4 0 < / i n t > < / v a l u e > < / i t e m > < i t e m > < k e y > < s t r i n g > T a r i f a   m a x     ( s i n   i m p u e s t o s ) < / s t r i n g > < / k e y > < v a l u e > < i n t > 4 1 < / i n t > < / v a l u e > < / i t e m > < i t e m > < k e y > < s t r i n g > R e n t a   m e n u s u a l   p r o m o c i o n a l   p o r   l a   c o n t r a t a c i � n   m a x     ( s i n   i m p u e s t o s ) < / s t r i n g > < / k e y > < v a l u e > < i n t > 4 2 < / i n t > < / v a l u e > < / i t e m > < i t e m > < k e y > < s t r i n g > T � r m i n o s   y   c o n d i c i o n e s 1 4 < / s t r i n g > < / k e y > < v a l u e > < i n t > 4 3 < / i n t > < / v a l u e > < / i t e m > < i t e m > < k e y > < s t r i n g > T a r i f a   P a r a m o u n t   +   ( s i n   i m p u e s t o s ) < / s t r i n g > < / k e y > < v a l u e > < i n t > 4 4 < / i n t > < / v a l u e > < / i t e m > < i t e m > < k e y > < s t r i n g > R e n t a   m e n u s u a l   p r o m o c i o n a l   p o r   l a   c o n t r a t a c i � n   P a r a m o u n t   +   ( s i n   i m p u e s t o s ) < / s t r i n g > < / k e y > < v a l u e > < i n t > 4 5 < / i n t > < / v a l u e > < / i t e m > < i t e m > < k e y > < s t r i n g > T � r m i n o s   y   c o n d i c i o n e s 1 5 < / s t r i n g > < / k e y > < v a l u e > < i n t > 4 6 < / i n t > < / v a l u e > < / i t e m > < i t e m > < k e y > < s t r i n g > T a r i f a   D i s n e y   +     ( s i n   i m p u e s t o s ) < / s t r i n g > < / k e y > < v a l u e > < i n t > 4 7 < / i n t > < / v a l u e > < / i t e m > < i t e m > < k e y > < s t r i n g > R e n t a   m e n u s u a l   p r o m o c i o n a l   p o r   l a   c o n t r a t a c i � n   D i s n e y   +     ( s i n   i m p u e s t o s ) < / s t r i n g > < / k e y > < v a l u e > < i n t > 4 8 < / i n t > < / v a l u e > < / i t e m > < i t e m > < k e y > < s t r i n g > T � r m i n o s   y   c o n d i c i o n e s 1 6 < / s t r i n g > < / k e y > < v a l u e > < i n t > 4 9 < / i n t > < / v a l u e > < / i t e m > < i t e m > < k e y > < s t r i n g > T a r i f a   S t a r   +     ( s i n   i m p u e s t o s ) < / s t r i n g > < / k e y > < v a l u e > < i n t > 5 0 < / i n t > < / v a l u e > < / i t e m > < i t e m > < k e y > < s t r i n g > R e n t a   m e n u s u a l   p r o m o c i o n a l   p o r   l a   c o n t r a t a c i � n   S t a r   +     ( s i n   i m p u e s t o s ) < / s t r i n g > < / k e y > < v a l u e > < i n t > 5 1 < / i n t > < / v a l u e > < / i t e m > < i t e m > < k e y > < s t r i n g > T � r m i n o s   y   c o n d i c i o n e s 1 7 < / s t r i n g > < / k e y > < v a l u e > < i n t > 5 2 < / i n t > < / v a l u e > < / i t e m > < i t e m > < k e y > < s t r i n g > T a r i f a   C o m b o   +   ( s i n   i m p u e s t o s ) < / s t r i n g > < / k e y > < v a l u e > < i n t > 5 3 < / i n t > < / v a l u e > < / i t e m > < i t e m > < k e y > < s t r i n g > R e n t a   m e n u s u a l   p r o m o c i o n a l   p o r   l a   c o n t r a t a c i � n   C o m b o   ( s i n   i m p u e s t o s ) < / s t r i n g > < / k e y > < v a l u e > < i n t > 5 4 < / i n t > < / v a l u e > < / i t e m > < i t e m > < k e y > < s t r i n g > T � r m i n o s   y   c o n d i c i o n e s 1 8 < / s t r i n g > < / k e y > < v a l u e > < i n t > 5 5 < / i n t > < / v a l u e > < / i t e m > < i t e m > < k e y > < s t r i n g > T a r i f a   F o x   S p o r t   P r e m i u m     ( s i n   i m p u e s t o s ) < / s t r i n g > < / k e y > < v a l u e > < i n t > 5 6 < / i n t > < / v a l u e > < / i t e m > < i t e m > < k e y > < s t r i n g > R e n t a   m e n u s u a l   p r o m o c i o n a l   p o r   l a   c o n t r a t a c i � n   F o x   S p o r t   P r e m i u m   ( s i n   i m p u e s t o s ) < / s t r i n g > < / k e y > < v a l u e > < i n t > 5 7 < / i n t > < / v a l u e > < / i t e m > < i t e m > < k e y > < s t r i n g > T � r m i n o s   y   c o n d i c i o n e s 1 9 < / s t r i n g > < / k e y > < v a l u e > < i n t > 5 8 < / 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I s S a n d b o x E m b e d d e d " > < C u s t o m C o n t e n t > < ! [ C D A T A [ y e s ] ] > < / C u s t o m C o n t e n t > < / G e m i n i > 
</file>

<file path=customXml/item6.xml>��< ? x m l   v e r s i o n = " 1 . 0 "   e n c o d i n g = " U T F - 1 6 " ? > < G e m i n i   x m l n s = " h t t p : / / g e m i n i / p i v o t c u s t o m i z a t i o n / T a b l e X M L _ C a n a s t a 2 0 2 3 " > < C u s t o m C o n t e n t > < ! [ C D A T A [ < T a b l e W i d g e t G r i d S e r i a l i z a t i o n   x m l n s : x s d = " h t t p : / / w w w . w 3 . o r g / 2 0 0 1 / X M L S c h e m a "   x m l n s : x s i = " h t t p : / / w w w . w 3 . o r g / 2 0 0 1 / X M L S c h e m a - i n s t a n c e " > < C o l u m n S u g g e s t e d T y p e   / > < C o l u m n F o r m a t   / > < C o l u m n A c c u r a c y   / > < C o l u m n C u r r e n c y S y m b o l   / > < C o l u m n P o s i t i v e P a t t e r n   / > < C o l u m n N e g a t i v e P a t t e r n   / > < C o l u m n W i d t h s > < i t e m > < k e y > < s t r i n g > N o m b r e   d e   P l a n / P a q u e t e < / s t r i n g > < / k e y > < v a l u e > < i n t > 1 9 4 < / i n t > < / v a l u e > < / i t e m > < i t e m > < k e y > < s t r i n g > T i p o * < / s t r i n g > < / k e y > < v a l u e > < i n t > 7 0 < / i n t > < / v a l u e > < / i t e m > < i t e m > < k e y > < s t r i n g > T i p o   d e   p a q u e t e   c o n s i d e r a n d o   S T A R   ( s e r v i c i o s   i n c l u i d o s ) * < / s t r i n g > < / k e y > < v a l u e > < i n t > 3 9 0 < / i n t > < / v a l u e > < / i t e m > < i t e m > < k e y > < s t r i n g > E s t a d o < / s t r i n g > < / k e y > < v a l u e > < i n t > 7 7 < / i n t > < / v a l u e > < / i t e m > < i t e m > < k e y > < s t r i n g > M u n i c i p i o < / s t r i n g > < / k e y > < v a l u e > < i n t > 9 8 < / i n t > < / v a l u e > < / i t e m > < i t e m > < k e y > < s t r i n g > L o c a l i d a d < / s t r i n g > < / k e y > < v a l u e > < i n t > 9 4 < / i n t > < / v a l u e > < / i t e m > < i t e m > < k e y > < s t r i n g > F o l i o   R P C < / s t r i n g > < / k e y > < v a l u e > < i n t > 9 4 < / i n t > < / v a l u e > < / i t e m > < i t e m > < k e y > < s t r i n g > R e n t a   m e n s u a l     ( s i n   i m p u e s t o s ) < / s t r i n g > < / k e y > < v a l u e > < i n t > 2 3 0 < / i n t > < / v a l u e > < / i t e m > < i t e m > < k e y > < s t r i n g > R e n t a   m e n s u a l     ( c o n   i m p u e s t o s ) < / s t r i n g > < / k e y > < v a l u e > < i n t > 2 3 4 < / i n t > < / v a l u e > < / i t e m > < i t e m > < k e y > < s t r i n g > C a n t i d a d   d e   T V   i n c l u i d a s < / s t r i n g > < / k e y > < v a l u e > < i n t > 1 8 6 < / i n t > < / v a l u e > < / i t e m > < i t e m > < k e y > < s t r i n g > E n t r e t e n i m i e n t o < / s t r i n g > < / k e y > < v a l u e > < i n t > 1 3 9 < / i n t > < / v a l u e > < / i t e m > < i t e m > < k e y > < s t r i n g > M � s i c a < / s t r i n g > < / k e y > < v a l u e > < i n t > 7 9 < / i n t > < / v a l u e > < / i t e m > < i t e m > < k e y > < s t r i n g > N i � o s / F a m i l i a r < / s t r i n g > < / k e y > < v a l u e > < i n t > 1 2 8 < / i n t > < / v a l u e > < / i t e m > < i t e m > < k e y > < s t r i n g > D o c u m e n t a l e s   /   C u l t u r a l e s < / s t r i n g > < / k e y > < v a l u e > < i n t > 2 0 0 < / i n t > < / v a l u e > < / i t e m > < i t e m > < k e y > < s t r i n g > N a c i o n a l e s < / s t r i n g > < / k e y > < v a l u e > < i n t > 1 0 4 < / i n t > < / v a l u e > < / i t e m > < i t e m > < k e y > < s t r i n g > I n t e r n a c i o n a l e s < / s t r i n g > < / k e y > < v a l u e > < i n t > 1 3 2 < / i n t > < / v a l u e > < / i t e m > < i t e m > < k e y > < s t r i n g > D e p o r t e s < / s t r i n g > < / k e y > < v a l u e > < i n t > 9 3 < / i n t > < / v a l u e > < / i t e m > < i t e m > < k e y > < s t r i n g > P e l � c u l a s < / s t r i n g > < / k e y > < v a l u e > < i n t > 9 0 < / i n t > < / v a l u e > < / i t e m > < i t e m > < k e y > < s t r i n g > N � m e r o   d e   c a n a l e s   c o n   a l t a   d e f i n i c i � n   ( H D ) < / s t r i n g > < / k e y > < v a l u e > < i n t > 3 0 2 < / i n t > < / v a l u e > < / i t e m > < i t e m > < k e y > < s t r i n g > N � m e r o   d e   c a n a l e s   " S o l o   A u d i o " < / s t r i n g > < / k e y > < v a l u e > < i n t > 2 3 7 < / i n t > < / v a l u e > < / i t e m > < i t e m > < k e y > < s t r i n g > m a x < / s t r i n g > < / k e y > < v a l u e > < i n t > 6 2 < / i n t > < / v a l u e > < / i t e m > < i t e m > < k e y > < s t r i n g > p a r a m o u n t   + < / s t r i n g > < / k e y > < v a l u e > < i n t > 1 1 4 < / i n t > < / v a l u e > < / i t e m > < i t e m > < k e y > < s t r i n g > F o x   S p o r t   P r e m i u m < / s t r i n g > < / k e y > < v a l u e > < i n t > 1 5 4 < / i n t > < / v a l u e > < / i t e m > < i t e m > < k e y > < s t r i n g > M L B < / s t r i n g > < / k e y > < v a l u e > < i n t > 6 2 < / i n t > < / v a l u e > < / i t e m > < i t e m > < k e y > < s t r i n g > N B A   L e a g u e   P a s s < / s t r i n g > < / k e y > < v a l u e > < i n t > 1 4 0 < / i n t > < / v a l u e > < / i t e m > < i t e m > < k e y > < s t r i n g > A d u l t   P a c k < / s t r i n g > < / k e y > < v a l u e > < i n t > 1 0 1 < / i n t > < / v a l u e > < / i t e m > < i t e m > < k e y > < s t r i n g > o t r o s < / s t r i n g > < / k e y > < v a l u e > < i n t > 6 8 < / i n t > < / v a l u e > < / i t e m > < i t e m > < k e y > < s t r i n g > C a n t i d a d   d e   l � n e a s   i n c l u i d a s < / s t r i n g > < / k e y > < v a l u e > < i n t > 2 0 6 < / i n t > < / v a l u e > < / i t e m > < i t e m > < k e y > < s t r i n g > N a c i o n a l e s 2 < / s t r i n g > < / k e y > < v a l u e > < i n t > 1 1 1 < / i n t > < / v a l u e > < / i t e m > < i t e m > < k e y > < s t r i n g > E s t d o s   U n i d o s   y   C a n a d � < / s t r i n g > < / k e y > < v a l u e > < i n t > 1 8 0 < / i n t > < / v a l u e > < / i t e m > < i t e m > < k e y > < s t r i n g > N a c i o n a l e s 3 < / s t r i n g > < / k e y > < v a l u e > < i n t > 1 1 1 < / i n t > < / v a l u e > < / i t e m > < i t e m > < k e y > < s t r i n g > E s t d o s   U n i d o s   y   C a n a d � 4 < / s t r i n g > < / k e y > < v a l u e > < i n t > 1 8 7 < / i n t > < / v a l u e > < / i t e m > < i t e m > < k e y > < s t r i n g > V e l o c i d a d   d e   b a j a d a   o f e r t a d a   ( M b p s ) < / s t r i n g > < / k e y > < v a l u e > < i n t > 2 6 3 < / i n t > < / v a l u e > < / i t e m > < i t e m > < k e y > < s t r i n g > V e l o c i d a d   d e   s u b i d a   o f e r t a d a   ( M b p s ) < / s t r i n g > < / k e y > < v a l u e > < i n t > 2 6 3 < / i n t > < / v a l u e > < / i t e m > < i t e m > < k e y > < s t r i n g > � C u e n t a   c o n   p r o m o c i o n e s   q u e   i n c r e m e n t e n   s u   v e l o c i d a d   a   p a r t i r   d e l   p a g o   d e   l a   m i s m a   r e n t a   m e n s u a l ?   ( S < / s t r i n g > < / k e y > < v a l u e > < i n t > 6 7 9 < / i n t > < / v a l u e > < / i t e m > < i t e m > < k e y > < s t r i n g > D u r a c i � n   d e l   p e r i o d o   d e   t i e m p o   ( e n   m e s e s )   e n   q u e   o f r e c e   l a   p r o m o c i � n   d e   i n c r e m e n t o   d e   v e l o c i d a d < / s t r i n g > < / k e y > < v a l u e > < i n t > 6 5 3 < / i n t > < / v a l u e > < / i t e m > < i t e m > < k e y > < s t r i n g > V e l o c i d a d   d e   s u b i d a   o f e r t a d a   ( M b p s )   c o n   l a   p r o m o c i � n   d e   a u m e n t o   d e   v e l o c i d a d < / s t r i n g > < / k e y > < v a l u e > < i n t > 5 3 2 < / i n t > < / v a l u e > < / i t e m > < i t e m > < k e y > < s t r i n g > V e l o c i d a d   d e   b a j a d a   o f e r t a d a   ( M b p s )   c o n   l a   p r o m o c i � n   d e   a u m e n t o   d e   v e l o c i d a d < / s t r i n g > < / k e y > < v a l u e > < i n t > 5 3 2 < / i n t > < / v a l u e > < / i t e m > < i t e m > < k e y > < s t r i n g > V e l o c i d a d   d e   s u b i d a   o f e r t a d a   ( M b p s )   c o n   l a   p r o m o c i � n   d e   a u m e n t o   d e   v e l o c i d a d 5 < / s t r i n g > < / k e y > < v a l u e > < i n t > 5 3 9 < / i n t > < / v a l u e > < / i t e m > < i t e m > < k e y > < s t r i n g > V e l o c i d a d   d e   b a j a d a   o f e r t a d a   ( M b p s )   c o n   l a   p r o m o c i � n   d e   a u m e n t o   d e   v e l o c i d a d 6 < / s t r i n g > < / k e y > < v a l u e > < i n t > 5 3 9 < / i n t > < / v a l u e > < / i t e m > < i t e m > < k e y > < s t r i n g > V e l o c i d a d   d e   s u b i d a   o f e r t a d a   ( M b p s )   c o n   l a   p r o m o c i � n   d e   a u m e n t o   d e   v e l o c i d a d 7 < / s t r i n g > < / k e y > < v a l u e > < i n t > 5 3 9 < / i n t > < / v a l u e > < / i t e m > < i t e m > < k e y > < s t r i n g > � C u e n t a   c o n   p r o m o c i o n e s   q u e   v u e l v a n   s u   v e l o c i d a d   s i m � t r i c a   p a r t i r   d e l   p a g o   d e   l a   m i s m a   r e n t a   m e n s u a l < / s t r i n g > < / k e y > < v a l u e > < i n t > 6 7 6 < / i n t > < / v a l u e > < / i t e m > < i t e m > < k e y > < s t r i n g > D u r a c i � n   d e l   p e r i o d o   d e   t i e m p o   ( e n   m e s e s )   e n   q u e   o f r e c e   l a   p r o m o c i � n   d e   s i m e t r � a   e n   l a   v e l o c i d a d < / s t r i n g > < / k e y > < v a l u e > < i n t > 6 4 5 < / i n t > < / v a l u e > < / i t e m > < i t e m > < k e y > < s t r i n g > � I n c l u y e   P a r a m o u n t   + ? < / s t r i n g > < / k e y > < v a l u e > < i n t > 1 7 6 < / i n t > < / v a l u e > < / i t e m > < i t e m > < k e y > < s t r i n g > T � r m i n o s   y   c o n d i c i o n e s   d e l   s e r v i c i o * * < / s t r i n g > < / k e y > < v a l u e > < i n t > 2 6 8 < / i n t > < / v a l u e > < / i t e m > < i t e m > < k e y > < s t r i n g > D u r a c i � n   d e l   p e r i o d o   d e   t i e m p o   ( e n   m e s e s )   e n   q u e   o f r e c e   a   l o s   u s u a r i o s   f i n a l e s   e l   s e r v i c i o   d e   P a r a m o < / s t r i n g > < / k e y > < v a l u e > < i n t > 6 5 8 < / i n t > < / v a l u e > < / i t e m > < i t e m > < k e y > < s t r i n g > � I n c l u y e   m a x ? < / s t r i n g > < / k e y > < v a l u e > < i n t > 1 2 4 < / i n t > < / v a l u e > < / i t e m > < i t e m > < k e y > < s t r i n g > T � r m i n o s   y   c o n d i c i o n e s   d e l   s e r v i c i o * * 8 < / s t r i n g > < / k e y > < v a l u e > < i n t > 2 7 5 < / i n t > < / v a l u e > < / i t e m > < i t e m > < k e y > < s t r i n g > D u r a c i � n   d e l   p e r i o d o   d e   t i e m p o   ( e n   m e s e s )   e n   q u e   o f r e c e   a   l o s   u s u a r i o s   f i n a l e s   e l   s e r v i c i o   d e   m a x   s i < / s t r i n g > < / k e y > < v a l u e > < i n t > 6 5 0 < / i n t > < / v a l u e > < / i t e m > < i t e m > < k e y > < s t r i n g > � I n c l u y e   m a x ?   9 < / s t r i n g > < / k e y > < v a l u e > < i n t > 1 3 4 < / i n t > < / v a l u e > < / i t e m > < i t e m > < k e y > < s t r i n g > T � r m i n o s   y   c o n d i c i o n e s   d e l   s e r v i c i o * * 1 0 < / s t r i n g > < / k e y > < v a l u e > < i n t > 2 8 2 < / i n t > < / v a l u e > < / i t e m > < i t e m > < k e y > < s t r i n g > D u r a c i � n   d e l   p e r i o d o   d e   t i e m p o   ( e n   m e s e s )   e n   q u e   o f r e c e   a   l o s   u s u a r i o s   f i n a l e s   e l   s e r v i c i o   d e   m a x     2 < / s t r i n g > < / k e y > < v a l u e > < i n t > 6 5 0 < / i n t > < / v a l u e > < / i t e m > < i t e m > < k e y > < s t r i n g > C a n t i d a d   d e   s e r v i c i o s   a d i c i o n a l e s   i n c l u i d o s < / s t r i n g > < / k e y > < v a l u e > < i n t > 2 9 8 < / i n t > < / v a l u e > < / i t e m > < i t e m > < k e y > < s t r i n g > N o m b r e   d e   l o s   s e r v i c i o s   a d i c i o n a l e s   i n c l u i d o s   ( p o r   e j e m p l o   (   I d e n t i f i c a d o r   d e   l l a m a d a s ,   D e s v i o   d e   l l < / s t r i n g > < / k e y > < v a l u e > < i n t > 6 4 5 < / i n t > < / v a l u e > < / i t e m > < i t e m > < k e y > < s t r i n g > T V   a d i c i o n a l   * * * < / s t r i n g > < / k e y > < v a l u e > < i n t > 1 3 5 < / i n t > < / v a l u e > < / i t e m > < i t e m > < k e y > < s t r i n g > C a r g o   p o r   i n s t a l a c i � n   * * * < / s t r i n g > < / k e y > < v a l u e > < i n t > 1 8 9 < / i n t > < / v a l u e > < / i t e m > < i t e m > < k e y > < s t r i n g > E q u i p o   t e r m i n a l   ( M � d e m / O N T ) * * * < / s t r i n g > < / k e y > < v a l u e > < i n t > 2 5 0 < / i n t > < / v a l u e > < / i t e m > < i t e m > < k e y > < s t r i n g > D e c o d i f i c a d o r   ( d i g i t a l )   * * * < / s t r i n g > < / k e y > < v a l u e > < i n t > 1 9 7 < / i n t > < / v a l u e > < / i t e m > < i t e m > < k e y > < s t r i n g > X v i e w   +   /   X v i e w   * * * < / s t r i n g > < / k e y > < v a l u e > < i n t > 1 5 8 < / i n t > < / v a l u e > < / i t e m > < i t e m > < k e y > < s t r i n g > S e r v i c i o   C l o u d     ( C l o u d   1 ,   C l o u d   2 )   * * * < / s t r i n g > < / k e y > < v a l u e > < i n t > 2 6 3 < / i n t > < / v a l u e > < / i t e m > < i t e m > < k e y > < s t r i n g > M e g a   M � v i l   * * * < / s t r i n g > < / k e y > < v a l u e > < i n t > 1 3 2 < / i n t > < / v a l u e > < / i t e m > < i t e m > < k e y > < s t r i n g > E x t e n s o r   M e s h   * * * < / s t r i n g > < / k e y > < v a l u e > < i n t > 1 5 1 < / i n t > < / v a l u e > < / i t e m > < i t e m > < k e y > < s t r i n g > N o r t o n   S e c u r i t y   * * *   N o r t o n   F a m i l y   * * *   N o r t o n   S e c u r e   V P N   * * * < / s t r i n g > < / k e y > < v a l u e > < i n t > 4 1 8 < / i n t > < / v a l u e > < / i t e m > < i t e m > < k e y > < s t r i n g > F o x   S p o r t   P r e m i u m   * * * * < / s t r i n g > < / k e y > < v a l u e > < i n t > 1 8 5 < / i n t > < / v a l u e > < / i t e m > < i t e m > < k e y > < s t r i n g > N B A   L e a g u e   P a s s   * * * * < / s t r i n g > < / k e y > < v a l u e > < i n t > 1 7 1 < / i n t > < / v a l u e > < / i t e m > < i t e m > < k e y > < s t r i n g > M B L   * * * * < / s t r i n g > < / k e y > < v a l u e > < i n t > 9 3 < / i n t > < / v a l u e > < / i t e m > < i t e m > < k e y > < s t r i n g > O t r o s   I n c l u y a   l a s   c o l u m n a s   q u e   s e a n   n e c e s a r i a s < / s t r i n g > < / k e y > < v a l u e > < i n t > 3 2 6 < / i n t > < / v a l u e > < / i t e m > < / C o l u m n W i d t h s > < C o l u m n D i s p l a y I n d e x > < i t e m > < k e y > < s t r i n g > N o m b r e   d e   P l a n / P a q u e t e < / s t r i n g > < / k e y > < v a l u e > < i n t > 0 < / i n t > < / v a l u e > < / i t e m > < i t e m > < k e y > < s t r i n g > T i p o * < / s t r i n g > < / k e y > < v a l u e > < i n t > 1 < / i n t > < / v a l u e > < / i t e m > < i t e m > < k e y > < s t r i n g > T i p o   d e   p a q u e t e   c o n s i d e r a n d o   S T A R   ( s e r v i c i o s   i n c l u i d o s ) * < / s t r i n g > < / k e y > < v a l u e > < i n t > 2 < / i n t > < / v a l u e > < / i t e m > < i t e m > < k e y > < s t r i n g > E s t a d o < / s t r i n g > < / k e y > < v a l u e > < i n t > 3 < / i n t > < / v a l u e > < / i t e m > < i t e m > < k e y > < s t r i n g > M u n i c i p i o < / s t r i n g > < / k e y > < v a l u e > < i n t > 4 < / i n t > < / v a l u e > < / i t e m > < i t e m > < k e y > < s t r i n g > L o c a l i d a d < / s t r i n g > < / k e y > < v a l u e > < i n t > 5 < / i n t > < / v a l u e > < / i t e m > < i t e m > < k e y > < s t r i n g > F o l i o   R P C < / s t r i n g > < / k e y > < v a l u e > < i n t > 6 < / i n t > < / v a l u e > < / i t e m > < i t e m > < k e y > < s t r i n g > R e n t a   m e n s u a l     ( s i n   i m p u e s t o s ) < / s t r i n g > < / k e y > < v a l u e > < i n t > 7 < / i n t > < / v a l u e > < / i t e m > < i t e m > < k e y > < s t r i n g > R e n t a   m e n s u a l     ( c o n   i m p u e s t o s ) < / s t r i n g > < / k e y > < v a l u e > < i n t > 8 < / i n t > < / v a l u e > < / i t e m > < i t e m > < k e y > < s t r i n g > C a n t i d a d   d e   T V   i n c l u i d a s < / s t r i n g > < / k e y > < v a l u e > < i n t > 9 < / i n t > < / v a l u e > < / i t e m > < i t e m > < k e y > < s t r i n g > E n t r e t e n i m i e n t o < / s t r i n g > < / k e y > < v a l u e > < i n t > 1 0 < / i n t > < / v a l u e > < / i t e m > < i t e m > < k e y > < s t r i n g > M � s i c a < / s t r i n g > < / k e y > < v a l u e > < i n t > 1 1 < / i n t > < / v a l u e > < / i t e m > < i t e m > < k e y > < s t r i n g > N i � o s / F a m i l i a r < / s t r i n g > < / k e y > < v a l u e > < i n t > 1 2 < / i n t > < / v a l u e > < / i t e m > < i t e m > < k e y > < s t r i n g > D o c u m e n t a l e s   /   C u l t u r a l e s < / s t r i n g > < / k e y > < v a l u e > < i n t > 1 3 < / i n t > < / v a l u e > < / i t e m > < i t e m > < k e y > < s t r i n g > N a c i o n a l e s < / s t r i n g > < / k e y > < v a l u e > < i n t > 1 4 < / i n t > < / v a l u e > < / i t e m > < i t e m > < k e y > < s t r i n g > I n t e r n a c i o n a l e s < / s t r i n g > < / k e y > < v a l u e > < i n t > 1 5 < / i n t > < / v a l u e > < / i t e m > < i t e m > < k e y > < s t r i n g > D e p o r t e s < / s t r i n g > < / k e y > < v a l u e > < i n t > 1 6 < / i n t > < / v a l u e > < / i t e m > < i t e m > < k e y > < s t r i n g > P e l � c u l a s < / s t r i n g > < / k e y > < v a l u e > < i n t > 1 7 < / i n t > < / v a l u e > < / i t e m > < i t e m > < k e y > < s t r i n g > N � m e r o   d e   c a n a l e s   c o n   a l t a   d e f i n i c i � n   ( H D ) < / s t r i n g > < / k e y > < v a l u e > < i n t > 1 8 < / i n t > < / v a l u e > < / i t e m > < i t e m > < k e y > < s t r i n g > N � m e r o   d e   c a n a l e s   " S o l o   A u d i o " < / s t r i n g > < / k e y > < v a l u e > < i n t > 1 9 < / i n t > < / v a l u e > < / i t e m > < i t e m > < k e y > < s t r i n g > m a x < / s t r i n g > < / k e y > < v a l u e > < i n t > 2 0 < / i n t > < / v a l u e > < / i t e m > < i t e m > < k e y > < s t r i n g > p a r a m o u n t   + < / s t r i n g > < / k e y > < v a l u e > < i n t > 2 1 < / i n t > < / v a l u e > < / i t e m > < i t e m > < k e y > < s t r i n g > F o x   S p o r t   P r e m i u m < / s t r i n g > < / k e y > < v a l u e > < i n t > 2 2 < / i n t > < / v a l u e > < / i t e m > < i t e m > < k e y > < s t r i n g > M L B < / s t r i n g > < / k e y > < v a l u e > < i n t > 2 3 < / i n t > < / v a l u e > < / i t e m > < i t e m > < k e y > < s t r i n g > N B A   L e a g u e   P a s s < / s t r i n g > < / k e y > < v a l u e > < i n t > 2 4 < / i n t > < / v a l u e > < / i t e m > < i t e m > < k e y > < s t r i n g > A d u l t   P a c k < / s t r i n g > < / k e y > < v a l u e > < i n t > 2 5 < / i n t > < / v a l u e > < / i t e m > < i t e m > < k e y > < s t r i n g > o t r o s < / s t r i n g > < / k e y > < v a l u e > < i n t > 2 6 < / i n t > < / v a l u e > < / i t e m > < i t e m > < k e y > < s t r i n g > C a n t i d a d   d e   l � n e a s   i n c l u i d a s < / s t r i n g > < / k e y > < v a l u e > < i n t > 2 7 < / i n t > < / v a l u e > < / i t e m > < i t e m > < k e y > < s t r i n g > N a c i o n a l e s 2 < / s t r i n g > < / k e y > < v a l u e > < i n t > 2 8 < / i n t > < / v a l u e > < / i t e m > < i t e m > < k e y > < s t r i n g > E s t d o s   U n i d o s   y   C a n a d � < / s t r i n g > < / k e y > < v a l u e > < i n t > 2 9 < / i n t > < / v a l u e > < / i t e m > < i t e m > < k e y > < s t r i n g > N a c i o n a l e s 3 < / s t r i n g > < / k e y > < v a l u e > < i n t > 3 0 < / i n t > < / v a l u e > < / i t e m > < i t e m > < k e y > < s t r i n g > E s t d o s   U n i d o s   y   C a n a d � 4 < / s t r i n g > < / k e y > < v a l u e > < i n t > 3 1 < / i n t > < / v a l u e > < / i t e m > < i t e m > < k e y > < s t r i n g > V e l o c i d a d   d e   b a j a d a   o f e r t a d a   ( M b p s ) < / s t r i n g > < / k e y > < v a l u e > < i n t > 3 2 < / i n t > < / v a l u e > < / i t e m > < i t e m > < k e y > < s t r i n g > V e l o c i d a d   d e   s u b i d a   o f e r t a d a   ( M b p s ) < / s t r i n g > < / k e y > < v a l u e > < i n t > 3 3 < / i n t > < / v a l u e > < / i t e m > < i t e m > < k e y > < s t r i n g > � C u e n t a   c o n   p r o m o c i o n e s   q u e   i n c r e m e n t e n   s u   v e l o c i d a d   a   p a r t i r   d e l   p a g o   d e   l a   m i s m a   r e n t a   m e n s u a l ?   ( S < / s t r i n g > < / k e y > < v a l u e > < i n t > 3 4 < / i n t > < / v a l u e > < / i t e m > < i t e m > < k e y > < s t r i n g > D u r a c i � n   d e l   p e r i o d o   d e   t i e m p o   ( e n   m e s e s )   e n   q u e   o f r e c e   l a   p r o m o c i � n   d e   i n c r e m e n t o   d e   v e l o c i d a d < / s t r i n g > < / k e y > < v a l u e > < i n t > 3 5 < / i n t > < / v a l u e > < / i t e m > < i t e m > < k e y > < s t r i n g > V e l o c i d a d   d e   s u b i d a   o f e r t a d a   ( M b p s )   c o n   l a   p r o m o c i � n   d e   a u m e n t o   d e   v e l o c i d a d < / s t r i n g > < / k e y > < v a l u e > < i n t > 3 6 < / i n t > < / v a l u e > < / i t e m > < i t e m > < k e y > < s t r i n g > V e l o c i d a d   d e   b a j a d a   o f e r t a d a   ( M b p s )   c o n   l a   p r o m o c i � n   d e   a u m e n t o   d e   v e l o c i d a d < / s t r i n g > < / k e y > < v a l u e > < i n t > 3 7 < / i n t > < / v a l u e > < / i t e m > < i t e m > < k e y > < s t r i n g > V e l o c i d a d   d e   s u b i d a   o f e r t a d a   ( M b p s )   c o n   l a   p r o m o c i � n   d e   a u m e n t o   d e   v e l o c i d a d 5 < / s t r i n g > < / k e y > < v a l u e > < i n t > 3 8 < / i n t > < / v a l u e > < / i t e m > < i t e m > < k e y > < s t r i n g > V e l o c i d a d   d e   b a j a d a   o f e r t a d a   ( M b p s )   c o n   l a   p r o m o c i � n   d e   a u m e n t o   d e   v e l o c i d a d 6 < / s t r i n g > < / k e y > < v a l u e > < i n t > 3 9 < / i n t > < / v a l u e > < / i t e m > < i t e m > < k e y > < s t r i n g > V e l o c i d a d   d e   s u b i d a   o f e r t a d a   ( M b p s )   c o n   l a   p r o m o c i � n   d e   a u m e n t o   d e   v e l o c i d a d 7 < / s t r i n g > < / k e y > < v a l u e > < i n t > 4 0 < / i n t > < / v a l u e > < / i t e m > < i t e m > < k e y > < s t r i n g > � C u e n t a   c o n   p r o m o c i o n e s   q u e   v u e l v a n   s u   v e l o c i d a d   s i m � t r i c a   p a r t i r   d e l   p a g o   d e   l a   m i s m a   r e n t a   m e n s u a l < / s t r i n g > < / k e y > < v a l u e > < i n t > 4 1 < / i n t > < / v a l u e > < / i t e m > < i t e m > < k e y > < s t r i n g > D u r a c i � n   d e l   p e r i o d o   d e   t i e m p o   ( e n   m e s e s )   e n   q u e   o f r e c e   l a   p r o m o c i � n   d e   s i m e t r � a   e n   l a   v e l o c i d a d < / s t r i n g > < / k e y > < v a l u e > < i n t > 4 2 < / i n t > < / v a l u e > < / i t e m > < i t e m > < k e y > < s t r i n g > � I n c l u y e   P a r a m o u n t   + ? < / s t r i n g > < / k e y > < v a l u e > < i n t > 4 3 < / i n t > < / v a l u e > < / i t e m > < i t e m > < k e y > < s t r i n g > T � r m i n o s   y   c o n d i c i o n e s   d e l   s e r v i c i o * * < / s t r i n g > < / k e y > < v a l u e > < i n t > 4 4 < / i n t > < / v a l u e > < / i t e m > < i t e m > < k e y > < s t r i n g > D u r a c i � n   d e l   p e r i o d o   d e   t i e m p o   ( e n   m e s e s )   e n   q u e   o f r e c e   a   l o s   u s u a r i o s   f i n a l e s   e l   s e r v i c i o   d e   P a r a m o < / s t r i n g > < / k e y > < v a l u e > < i n t > 4 5 < / i n t > < / v a l u e > < / i t e m > < i t e m > < k e y > < s t r i n g > � I n c l u y e   m a x ? < / s t r i n g > < / k e y > < v a l u e > < i n t > 4 6 < / i n t > < / v a l u e > < / i t e m > < i t e m > < k e y > < s t r i n g > T � r m i n o s   y   c o n d i c i o n e s   d e l   s e r v i c i o * * 8 < / s t r i n g > < / k e y > < v a l u e > < i n t > 4 7 < / i n t > < / v a l u e > < / i t e m > < i t e m > < k e y > < s t r i n g > D u r a c i � n   d e l   p e r i o d o   d e   t i e m p o   ( e n   m e s e s )   e n   q u e   o f r e c e   a   l o s   u s u a r i o s   f i n a l e s   e l   s e r v i c i o   d e   m a x   s i < / s t r i n g > < / k e y > < v a l u e > < i n t > 4 8 < / i n t > < / v a l u e > < / i t e m > < i t e m > < k e y > < s t r i n g > � I n c l u y e   m a x ?   9 < / s t r i n g > < / k e y > < v a l u e > < i n t > 4 9 < / i n t > < / v a l u e > < / i t e m > < i t e m > < k e y > < s t r i n g > T � r m i n o s   y   c o n d i c i o n e s   d e l   s e r v i c i o * * 1 0 < / s t r i n g > < / k e y > < v a l u e > < i n t > 5 0 < / i n t > < / v a l u e > < / i t e m > < i t e m > < k e y > < s t r i n g > D u r a c i � n   d e l   p e r i o d o   d e   t i e m p o   ( e n   m e s e s )   e n   q u e   o f r e c e   a   l o s   u s u a r i o s   f i n a l e s   e l   s e r v i c i o   d e   m a x     2 < / s t r i n g > < / k e y > < v a l u e > < i n t > 5 1 < / i n t > < / v a l u e > < / i t e m > < i t e m > < k e y > < s t r i n g > C a n t i d a d   d e   s e r v i c i o s   a d i c i o n a l e s   i n c l u i d o s < / s t r i n g > < / k e y > < v a l u e > < i n t > 5 2 < / i n t > < / v a l u e > < / i t e m > < i t e m > < k e y > < s t r i n g > N o m b r e   d e   l o s   s e r v i c i o s   a d i c i o n a l e s   i n c l u i d o s   ( p o r   e j e m p l o   (   I d e n t i f i c a d o r   d e   l l a m a d a s ,   D e s v i o   d e   l l < / s t r i n g > < / k e y > < v a l u e > < i n t > 5 3 < / i n t > < / v a l u e > < / i t e m > < i t e m > < k e y > < s t r i n g > T V   a d i c i o n a l   * * * < / s t r i n g > < / k e y > < v a l u e > < i n t > 5 4 < / i n t > < / v a l u e > < / i t e m > < i t e m > < k e y > < s t r i n g > C a r g o   p o r   i n s t a l a c i � n   * * * < / s t r i n g > < / k e y > < v a l u e > < i n t > 5 5 < / i n t > < / v a l u e > < / i t e m > < i t e m > < k e y > < s t r i n g > E q u i p o   t e r m i n a l   ( M � d e m / O N T ) * * * < / s t r i n g > < / k e y > < v a l u e > < i n t > 5 6 < / i n t > < / v a l u e > < / i t e m > < i t e m > < k e y > < s t r i n g > D e c o d i f i c a d o r   ( d i g i t a l )   * * * < / s t r i n g > < / k e y > < v a l u e > < i n t > 5 7 < / i n t > < / v a l u e > < / i t e m > < i t e m > < k e y > < s t r i n g > X v i e w   +   /   X v i e w   * * * < / s t r i n g > < / k e y > < v a l u e > < i n t > 5 8 < / i n t > < / v a l u e > < / i t e m > < i t e m > < k e y > < s t r i n g > S e r v i c i o   C l o u d     ( C l o u d   1 ,   C l o u d   2 )   * * * < / s t r i n g > < / k e y > < v a l u e > < i n t > 5 9 < / i n t > < / v a l u e > < / i t e m > < i t e m > < k e y > < s t r i n g > M e g a   M � v i l   * * * < / s t r i n g > < / k e y > < v a l u e > < i n t > 6 0 < / i n t > < / v a l u e > < / i t e m > < i t e m > < k e y > < s t r i n g > E x t e n s o r   M e s h   * * * < / s t r i n g > < / k e y > < v a l u e > < i n t > 6 1 < / i n t > < / v a l u e > < / i t e m > < i t e m > < k e y > < s t r i n g > N o r t o n   S e c u r i t y   * * *   N o r t o n   F a m i l y   * * *   N o r t o n   S e c u r e   V P N   * * * < / s t r i n g > < / k e y > < v a l u e > < i n t > 6 2 < / i n t > < / v a l u e > < / i t e m > < i t e m > < k e y > < s t r i n g > F o x   S p o r t   P r e m i u m   * * * * < / s t r i n g > < / k e y > < v a l u e > < i n t > 6 3 < / i n t > < / v a l u e > < / i t e m > < i t e m > < k e y > < s t r i n g > N B A   L e a g u e   P a s s   * * * * < / s t r i n g > < / k e y > < v a l u e > < i n t > 6 4 < / i n t > < / v a l u e > < / i t e m > < i t e m > < k e y > < s t r i n g > M B L   * * * * < / s t r i n g > < / k e y > < v a l u e > < i n t > 6 5 < / i n t > < / v a l u e > < / i t e m > < i t e m > < k e y > < s t r i n g > O t r o s   I n c l u y a   l a s   c o l u m n a s   q u e   s e a n   n e c e s a r i a s < / s t r i n g > < / k e y > < v a l u e > < i n t > 6 6 < / 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C a n a s t a 2 0 2 4 " > < C u s t o m C o n t e n t > < ! [ C D A T A [ < T a b l e W i d g e t G r i d S e r i a l i z a t i o n   x m l n s : x s d = " h t t p : / / w w w . w 3 . o r g / 2 0 0 1 / X M L S c h e m a "   x m l n s : x s i = " h t t p : / / w w w . w 3 . o r g / 2 0 0 1 / X M L S c h e m a - i n s t a n c e " > < C o l u m n S u g g e s t e d T y p e   / > < C o l u m n F o r m a t   / > < C o l u m n A c c u r a c y   / > < C o l u m n C u r r e n c y S y m b o l   / > < C o l u m n P o s i t i v e P a t t e r n   / > < C o l u m n N e g a t i v e P a t t e r n   / > < C o l u m n W i d t h s > < i t e m > < k e y > < s t r i n g > N o m b r e   d e   P l a n / P a q u e t e < / s t r i n g > < / k e y > < v a l u e > < i n t > 1 9 4 < / i n t > < / v a l u e > < / i t e m > < i t e m > < k e y > < s t r i n g > T i p o * < / s t r i n g > < / k e y > < v a l u e > < i n t > 7 0 < / i n t > < / v a l u e > < / i t e m > < i t e m > < k e y > < s t r i n g > T i p o   d e   p a q u e t e   c o n s i d e r a n d o   S T A R   ( s e r v i c i o s   i n c l u i d o s ) * < / s t r i n g > < / k e y > < v a l u e > < i n t > 3 9 0 < / i n t > < / v a l u e > < / i t e m > < i t e m > < k e y > < s t r i n g > E s t a d o < / s t r i n g > < / k e y > < v a l u e > < i n t > 7 7 < / i n t > < / v a l u e > < / i t e m > < i t e m > < k e y > < s t r i n g > M u n i c i p i o < / s t r i n g > < / k e y > < v a l u e > < i n t > 9 8 < / i n t > < / v a l u e > < / i t e m > < i t e m > < k e y > < s t r i n g > L o c a l i d a d < / s t r i n g > < / k e y > < v a l u e > < i n t > 9 4 < / i n t > < / v a l u e > < / i t e m > < i t e m > < k e y > < s t r i n g > F o l i o   R P C < / s t r i n g > < / k e y > < v a l u e > < i n t > 9 4 < / i n t > < / v a l u e > < / i t e m > < i t e m > < k e y > < s t r i n g > R e n t a   m e n s u a l     ( s i n   i m p u e s t o s ) < / s t r i n g > < / k e y > < v a l u e > < i n t > 2 3 0 < / i n t > < / v a l u e > < / i t e m > < i t e m > < k e y > < s t r i n g > R e n t a   m e n s u a l     ( c o n   i m p u e s t o s ) < / s t r i n g > < / k e y > < v a l u e > < i n t > 2 3 4 < / i n t > < / v a l u e > < / i t e m > < i t e m > < k e y > < s t r i n g > C a n t i d a d   d e   T V   i n c l u i d a s < / s t r i n g > < / k e y > < v a l u e > < i n t > 1 8 6 < / i n t > < / v a l u e > < / i t e m > < i t e m > < k e y > < s t r i n g > E n t r e t e n i m i e n t o < / s t r i n g > < / k e y > < v a l u e > < i n t > 1 3 9 < / i n t > < / v a l u e > < / i t e m > < i t e m > < k e y > < s t r i n g > M � s i c a < / s t r i n g > < / k e y > < v a l u e > < i n t > 7 9 < / i n t > < / v a l u e > < / i t e m > < i t e m > < k e y > < s t r i n g > N i � o s / F a m i l i a r < / s t r i n g > < / k e y > < v a l u e > < i n t > 1 2 8 < / i n t > < / v a l u e > < / i t e m > < i t e m > < k e y > < s t r i n g > D o c u m e n t a l e s   /   C u l t u r a l e s < / s t r i n g > < / k e y > < v a l u e > < i n t > 2 0 0 < / i n t > < / v a l u e > < / i t e m > < i t e m > < k e y > < s t r i n g > N a c i o n a l e s < / s t r i n g > < / k e y > < v a l u e > < i n t > 1 0 4 < / i n t > < / v a l u e > < / i t e m > < i t e m > < k e y > < s t r i n g > I n t e r n a c i o n a l e s < / s t r i n g > < / k e y > < v a l u e > < i n t > 1 3 2 < / i n t > < / v a l u e > < / i t e m > < i t e m > < k e y > < s t r i n g > D e p o r t e s < / s t r i n g > < / k e y > < v a l u e > < i n t > 9 3 < / i n t > < / v a l u e > < / i t e m > < i t e m > < k e y > < s t r i n g > P e l � c u l a s < / s t r i n g > < / k e y > < v a l u e > < i n t > 9 0 < / i n t > < / v a l u e > < / i t e m > < i t e m > < k e y > < s t r i n g > N � m e r o   d e   c a n a l e s   c o n   a l t a   d e f i n i c i � n   ( H D ) < / s t r i n g > < / k e y > < v a l u e > < i n t > 3 0 2 < / i n t > < / v a l u e > < / i t e m > < i t e m > < k e y > < s t r i n g > N � m e r o   d e   c a n a l e s   " S o l o   A u d i o " < / s t r i n g > < / k e y > < v a l u e > < i n t > 2 3 7 < / i n t > < / v a l u e > < / i t e m > < i t e m > < k e y > < s t r i n g > m a x < / s t r i n g > < / k e y > < v a l u e > < i n t > 6 2 < / i n t > < / v a l u e > < / i t e m > < i t e m > < k e y > < s t r i n g > p a r a m o u n t   + < / s t r i n g > < / k e y > < v a l u e > < i n t > 1 1 4 < / i n t > < / v a l u e > < / i t e m > < i t e m > < k e y > < s t r i n g > F o x   S p o r t   P r e m i u m < / s t r i n g > < / k e y > < v a l u e > < i n t > 1 5 4 < / i n t > < / v a l u e > < / i t e m > < i t e m > < k e y > < s t r i n g > M L B < / s t r i n g > < / k e y > < v a l u e > < i n t > 6 2 < / i n t > < / v a l u e > < / i t e m > < i t e m > < k e y > < s t r i n g > N B A   L e a g u e   P a s s < / s t r i n g > < / k e y > < v a l u e > < i n t > 1 4 0 < / i n t > < / v a l u e > < / i t e m > < i t e m > < k e y > < s t r i n g > A d u l t   P a c k < / s t r i n g > < / k e y > < v a l u e > < i n t > 1 0 1 < / i n t > < / v a l u e > < / i t e m > < i t e m > < k e y > < s t r i n g > o t r o s < / s t r i n g > < / k e y > < v a l u e > < i n t > 6 8 < / i n t > < / v a l u e > < / i t e m > < i t e m > < k e y > < s t r i n g > C a n t i d a d   d e   l � n e a s   i n c l u i d a s < / s t r i n g > < / k e y > < v a l u e > < i n t > 2 0 6 < / i n t > < / v a l u e > < / i t e m > < i t e m > < k e y > < s t r i n g > N a c i o n a l e s 2 < / s t r i n g > < / k e y > < v a l u e > < i n t > 1 1 1 < / i n t > < / v a l u e > < / i t e m > < i t e m > < k e y > < s t r i n g > E s t d o s   U n i d o s   y   C a n a d � < / s t r i n g > < / k e y > < v a l u e > < i n t > 1 8 0 < / i n t > < / v a l u e > < / i t e m > < i t e m > < k e y > < s t r i n g > N a c i o n a l e s 3 < / s t r i n g > < / k e y > < v a l u e > < i n t > 1 1 1 < / i n t > < / v a l u e > < / i t e m > < i t e m > < k e y > < s t r i n g > E s t d o s   U n i d o s   y   C a n a d � 4 < / s t r i n g > < / k e y > < v a l u e > < i n t > 1 8 7 < / i n t > < / v a l u e > < / i t e m > < i t e m > < k e y > < s t r i n g > V e l o c i d a d   d e   b a j a d a   o f e r t a d a   ( M b p s ) < / s t r i n g > < / k e y > < v a l u e > < i n t > 2 6 3 < / i n t > < / v a l u e > < / i t e m > < i t e m > < k e y > < s t r i n g > V e l o c i d a d   d e   s u b i d a   o f e r t a d a   ( M b p s ) < / s t r i n g > < / k e y > < v a l u e > < i n t > 2 6 3 < / i n t > < / v a l u e > < / i t e m > < i t e m > < k e y > < s t r i n g > � C u e n t a   c o n   p r o m o c i o n e s   q u e   i n c r e m e n t e n   s u   v e l o c i d a d   a   p a r t i r   d e l   p a g o   d e   l a   m i s m a   r e n t a   m e n s u a l ?   ( S < / s t r i n g > < / k e y > < v a l u e > < i n t > 6 7 9 < / i n t > < / v a l u e > < / i t e m > < i t e m > < k e y > < s t r i n g > D u r a c i � n   d e l   p e r i o d o   d e   t i e m p o   ( e n   m e s e s )   e n   q u e   o f r e c e   l a   p r o m o c i � n   d e   i n c r e m e n t o   d e   v e l o c i d a d < / s t r i n g > < / k e y > < v a l u e > < i n t > 6 5 3 < / i n t > < / v a l u e > < / i t e m > < i t e m > < k e y > < s t r i n g > V e l o c i d a d   d e   s u b i d a   o f e r t a d a   ( M b p s )   c o n   l a   p r o m o c i � n   d e   a u m e n t o   d e   v e l o c i d a d < / s t r i n g > < / k e y > < v a l u e > < i n t > 5 3 2 < / i n t > < / v a l u e > < / i t e m > < i t e m > < k e y > < s t r i n g > V e l o c i d a d   d e   b a j a d a   o f e r t a d a   ( M b p s )   c o n   l a   p r o m o c i � n   d e   a u m e n t o   d e   v e l o c i d a d < / s t r i n g > < / k e y > < v a l u e > < i n t > 5 3 2 < / i n t > < / v a l u e > < / i t e m > < i t e m > < k e y > < s t r i n g > V e l o c i d a d   d e   s u b i d a   o f e r t a d a   ( M b p s )   c o n   l a   p r o m o c i � n   d e   a u m e n t o   d e   v e l o c i d a d 5 < / s t r i n g > < / k e y > < v a l u e > < i n t > 5 3 9 < / i n t > < / v a l u e > < / i t e m > < i t e m > < k e y > < s t r i n g > V e l o c i d a d   d e   b a j a d a   o f e r t a d a   ( M b p s )   c o n   l a   p r o m o c i � n   d e   a u m e n t o   d e   v e l o c i d a d 6 < / s t r i n g > < / k e y > < v a l u e > < i n t > 5 3 9 < / i n t > < / v a l u e > < / i t e m > < i t e m > < k e y > < s t r i n g > V e l o c i d a d   d e   s u b i d a   o f e r t a d a   ( M b p s )   c o n   l a   p r o m o c i � n   d e   a u m e n t o   d e   v e l o c i d a d 7 < / s t r i n g > < / k e y > < v a l u e > < i n t > 5 3 9 < / i n t > < / v a l u e > < / i t e m > < i t e m > < k e y > < s t r i n g > � C u e n t a   c o n   p r o m o c i o n e s   q u e   v u e l v a n   s u   v e l o c i d a d   s i m � t r i c a   p a r t i r   d e l   p a g o   d e   l a   m i s m a   r e n t a   m e n s u a l < / s t r i n g > < / k e y > < v a l u e > < i n t > 6 7 6 < / i n t > < / v a l u e > < / i t e m > < i t e m > < k e y > < s t r i n g > D u r a c i � n   d e l   p e r i o d o   d e   t i e m p o   ( e n   m e s e s )   e n   q u e   o f r e c e   l a   p r o m o c i � n   d e   s i m e t r � a   e n   l a   v e l o c i d a d < / s t r i n g > < / k e y > < v a l u e > < i n t > 6 4 5 < / i n t > < / v a l u e > < / i t e m > < i t e m > < k e y > < s t r i n g > � I n c l u y e   P a r a m o u n t   + ? < / s t r i n g > < / k e y > < v a l u e > < i n t > 1 7 6 < / i n t > < / v a l u e > < / i t e m > < i t e m > < k e y > < s t r i n g > T � r m i n o s   y   c o n d i c i o n e s   d e l   s e r v i c i o * * < / s t r i n g > < / k e y > < v a l u e > < i n t > 2 6 8 < / i n t > < / v a l u e > < / i t e m > < i t e m > < k e y > < s t r i n g > D u r a c i � n   d e l   p e r i o d o   d e   t i e m p o   ( e n   m e s e s )   e n   q u e   o f r e c e   a   l o s   u s u a r i o s   f i n a l e s   e l   s e r v i c i o   d e   P a r a m o < / s t r i n g > < / k e y > < v a l u e > < i n t > 6 5 8 < / i n t > < / v a l u e > < / i t e m > < i t e m > < k e y > < s t r i n g > � I n c l u y e   m a x ? < / s t r i n g > < / k e y > < v a l u e > < i n t > 1 2 4 < / i n t > < / v a l u e > < / i t e m > < i t e m > < k e y > < s t r i n g > T � r m i n o s   y   c o n d i c i o n e s   d e l   s e r v i c i o * * 8 < / s t r i n g > < / k e y > < v a l u e > < i n t > 2 7 5 < / i n t > < / v a l u e > < / i t e m > < i t e m > < k e y > < s t r i n g > D u r a c i � n   d e l   p e r i o d o   d e   t i e m p o   ( e n   m e s e s )   e n   q u e   o f r e c e   a   l o s   u s u a r i o s   f i n a l e s   e l   s e r v i c i o   d e   m a x   s i < / s t r i n g > < / k e y > < v a l u e > < i n t > 6 5 0 < / i n t > < / v a l u e > < / i t e m > < i t e m > < k e y > < s t r i n g > � I n c l u y e   m a x ?   9 < / s t r i n g > < / k e y > < v a l u e > < i n t > 1 3 4 < / i n t > < / v a l u e > < / i t e m > < i t e m > < k e y > < s t r i n g > T � r m i n o s   y   c o n d i c i o n e s   d e l   s e r v i c i o * * 1 0 < / s t r i n g > < / k e y > < v a l u e > < i n t > 2 8 2 < / i n t > < / v a l u e > < / i t e m > < i t e m > < k e y > < s t r i n g > D u r a c i � n   d e l   p e r i o d o   d e   t i e m p o   ( e n   m e s e s )   e n   q u e   o f r e c e   a   l o s   u s u a r i o s   f i n a l e s   e l   s e r v i c i o   d e   m a x     2 < / s t r i n g > < / k e y > < v a l u e > < i n t > 6 5 0 < / i n t > < / v a l u e > < / i t e m > < i t e m > < k e y > < s t r i n g > C a n t i d a d   d e   s e r v i c i o s   a d i c i o n a l e s   i n c l u i d o s < / s t r i n g > < / k e y > < v a l u e > < i n t > 2 9 8 < / i n t > < / v a l u e > < / i t e m > < i t e m > < k e y > < s t r i n g > N o m b r e   d e   l o s   s e r v i c i o s   a d i c i o n a l e s   i n c l u i d o s   ( p o r   e j e m p l o   (   I d e n t i f i c a d o r   d e   l l a m a d a s ,   D e s v i o   d e   l l < / s t r i n g > < / k e y > < v a l u e > < i n t > 6 4 5 < / i n t > < / v a l u e > < / i t e m > < i t e m > < k e y > < s t r i n g > T V   a d i c i o n a l   * * * < / s t r i n g > < / k e y > < v a l u e > < i n t > 1 3 5 < / i n t > < / v a l u e > < / i t e m > < i t e m > < k e y > < s t r i n g > C a r g o   p o r   i n s t a l a c i � n   * * * < / s t r i n g > < / k e y > < v a l u e > < i n t > 1 8 9 < / i n t > < / v a l u e > < / i t e m > < i t e m > < k e y > < s t r i n g > E q u i p o   t e r m i n a l   ( M � d e m / O N T ) * * * < / s t r i n g > < / k e y > < v a l u e > < i n t > 2 5 0 < / i n t > < / v a l u e > < / i t e m > < i t e m > < k e y > < s t r i n g > D e c o d i f i c a d o r   ( d i g i t a l )   * * * < / s t r i n g > < / k e y > < v a l u e > < i n t > 1 9 7 < / i n t > < / v a l u e > < / i t e m > < i t e m > < k e y > < s t r i n g > X v i e w   +   /   X v i e w   * * * < / s t r i n g > < / k e y > < v a l u e > < i n t > 1 5 8 < / i n t > < / v a l u e > < / i t e m > < i t e m > < k e y > < s t r i n g > S e r v i c i o   C l o u d     ( C l o u d   1 ,   C l o u d   2 )   * * * < / s t r i n g > < / k e y > < v a l u e > < i n t > 2 6 3 < / i n t > < / v a l u e > < / i t e m > < i t e m > < k e y > < s t r i n g > M e g a   M � v i l   * * * < / s t r i n g > < / k e y > < v a l u e > < i n t > 1 3 2 < / i n t > < / v a l u e > < / i t e m > < i t e m > < k e y > < s t r i n g > E x t e n s o r   M e s h   * * * < / s t r i n g > < / k e y > < v a l u e > < i n t > 1 5 1 < / i n t > < / v a l u e > < / i t e m > < i t e m > < k e y > < s t r i n g > N o r t o n   S e c u r i t y   * * *   N o r t o n   F a m i l y   * * *   N o r t o n   S e c u r e   V P N   * * * < / s t r i n g > < / k e y > < v a l u e > < i n t > 4 1 8 < / i n t > < / v a l u e > < / i t e m > < i t e m > < k e y > < s t r i n g > F o x   S p o r t   P r e m i u m   * * * * < / s t r i n g > < / k e y > < v a l u e > < i n t > 1 8 5 < / i n t > < / v a l u e > < / i t e m > < i t e m > < k e y > < s t r i n g > N B A   L e a g u e   P a s s   * * * * < / s t r i n g > < / k e y > < v a l u e > < i n t > 1 7 1 < / i n t > < / v a l u e > < / i t e m > < i t e m > < k e y > < s t r i n g > M B L   * * * * < / s t r i n g > < / k e y > < v a l u e > < i n t > 9 3 < / i n t > < / v a l u e > < / i t e m > < i t e m > < k e y > < s t r i n g > O t r o s   I n c l u y a   l a s   c o l u m n a s   q u e   s e a n   n e c e s a r i a s < / s t r i n g > < / k e y > < v a l u e > < i n t > 3 2 6 < / i n t > < / v a l u e > < / i t e m > < / C o l u m n W i d t h s > < C o l u m n D i s p l a y I n d e x > < i t e m > < k e y > < s t r i n g > N o m b r e   d e   P l a n / P a q u e t e < / s t r i n g > < / k e y > < v a l u e > < i n t > 0 < / i n t > < / v a l u e > < / i t e m > < i t e m > < k e y > < s t r i n g > T i p o * < / s t r i n g > < / k e y > < v a l u e > < i n t > 1 < / i n t > < / v a l u e > < / i t e m > < i t e m > < k e y > < s t r i n g > T i p o   d e   p a q u e t e   c o n s i d e r a n d o   S T A R   ( s e r v i c i o s   i n c l u i d o s ) * < / s t r i n g > < / k e y > < v a l u e > < i n t > 2 < / i n t > < / v a l u e > < / i t e m > < i t e m > < k e y > < s t r i n g > E s t a d o < / s t r i n g > < / k e y > < v a l u e > < i n t > 3 < / i n t > < / v a l u e > < / i t e m > < i t e m > < k e y > < s t r i n g > M u n i c i p i o < / s t r i n g > < / k e y > < v a l u e > < i n t > 4 < / i n t > < / v a l u e > < / i t e m > < i t e m > < k e y > < s t r i n g > L o c a l i d a d < / s t r i n g > < / k e y > < v a l u e > < i n t > 5 < / i n t > < / v a l u e > < / i t e m > < i t e m > < k e y > < s t r i n g > F o l i o   R P C < / s t r i n g > < / k e y > < v a l u e > < i n t > 6 < / i n t > < / v a l u e > < / i t e m > < i t e m > < k e y > < s t r i n g > R e n t a   m e n s u a l     ( s i n   i m p u e s t o s ) < / s t r i n g > < / k e y > < v a l u e > < i n t > 7 < / i n t > < / v a l u e > < / i t e m > < i t e m > < k e y > < s t r i n g > R e n t a   m e n s u a l     ( c o n   i m p u e s t o s ) < / s t r i n g > < / k e y > < v a l u e > < i n t > 8 < / i n t > < / v a l u e > < / i t e m > < i t e m > < k e y > < s t r i n g > C a n t i d a d   d e   T V   i n c l u i d a s < / s t r i n g > < / k e y > < v a l u e > < i n t > 9 < / i n t > < / v a l u e > < / i t e m > < i t e m > < k e y > < s t r i n g > E n t r e t e n i m i e n t o < / s t r i n g > < / k e y > < v a l u e > < i n t > 1 0 < / i n t > < / v a l u e > < / i t e m > < i t e m > < k e y > < s t r i n g > M � s i c a < / s t r i n g > < / k e y > < v a l u e > < i n t > 1 1 < / i n t > < / v a l u e > < / i t e m > < i t e m > < k e y > < s t r i n g > N i � o s / F a m i l i a r < / s t r i n g > < / k e y > < v a l u e > < i n t > 1 2 < / i n t > < / v a l u e > < / i t e m > < i t e m > < k e y > < s t r i n g > D o c u m e n t a l e s   /   C u l t u r a l e s < / s t r i n g > < / k e y > < v a l u e > < i n t > 1 3 < / i n t > < / v a l u e > < / i t e m > < i t e m > < k e y > < s t r i n g > N a c i o n a l e s < / s t r i n g > < / k e y > < v a l u e > < i n t > 1 4 < / i n t > < / v a l u e > < / i t e m > < i t e m > < k e y > < s t r i n g > I n t e r n a c i o n a l e s < / s t r i n g > < / k e y > < v a l u e > < i n t > 1 5 < / i n t > < / v a l u e > < / i t e m > < i t e m > < k e y > < s t r i n g > D e p o r t e s < / s t r i n g > < / k e y > < v a l u e > < i n t > 1 6 < / i n t > < / v a l u e > < / i t e m > < i t e m > < k e y > < s t r i n g > P e l � c u l a s < / s t r i n g > < / k e y > < v a l u e > < i n t > 1 7 < / i n t > < / v a l u e > < / i t e m > < i t e m > < k e y > < s t r i n g > N � m e r o   d e   c a n a l e s   c o n   a l t a   d e f i n i c i � n   ( H D ) < / s t r i n g > < / k e y > < v a l u e > < i n t > 1 8 < / i n t > < / v a l u e > < / i t e m > < i t e m > < k e y > < s t r i n g > N � m e r o   d e   c a n a l e s   " S o l o   A u d i o " < / s t r i n g > < / k e y > < v a l u e > < i n t > 1 9 < / i n t > < / v a l u e > < / i t e m > < i t e m > < k e y > < s t r i n g > m a x < / s t r i n g > < / k e y > < v a l u e > < i n t > 2 0 < / i n t > < / v a l u e > < / i t e m > < i t e m > < k e y > < s t r i n g > p a r a m o u n t   + < / s t r i n g > < / k e y > < v a l u e > < i n t > 2 1 < / i n t > < / v a l u e > < / i t e m > < i t e m > < k e y > < s t r i n g > F o x   S p o r t   P r e m i u m < / s t r i n g > < / k e y > < v a l u e > < i n t > 2 2 < / i n t > < / v a l u e > < / i t e m > < i t e m > < k e y > < s t r i n g > M L B < / s t r i n g > < / k e y > < v a l u e > < i n t > 2 3 < / i n t > < / v a l u e > < / i t e m > < i t e m > < k e y > < s t r i n g > N B A   L e a g u e   P a s s < / s t r i n g > < / k e y > < v a l u e > < i n t > 2 4 < / i n t > < / v a l u e > < / i t e m > < i t e m > < k e y > < s t r i n g > A d u l t   P a c k < / s t r i n g > < / k e y > < v a l u e > < i n t > 2 5 < / i n t > < / v a l u e > < / i t e m > < i t e m > < k e y > < s t r i n g > o t r o s < / s t r i n g > < / k e y > < v a l u e > < i n t > 2 6 < / i n t > < / v a l u e > < / i t e m > < i t e m > < k e y > < s t r i n g > C a n t i d a d   d e   l � n e a s   i n c l u i d a s < / s t r i n g > < / k e y > < v a l u e > < i n t > 2 7 < / i n t > < / v a l u e > < / i t e m > < i t e m > < k e y > < s t r i n g > N a c i o n a l e s 2 < / s t r i n g > < / k e y > < v a l u e > < i n t > 2 8 < / i n t > < / v a l u e > < / i t e m > < i t e m > < k e y > < s t r i n g > E s t d o s   U n i d o s   y   C a n a d � < / s t r i n g > < / k e y > < v a l u e > < i n t > 2 9 < / i n t > < / v a l u e > < / i t e m > < i t e m > < k e y > < s t r i n g > N a c i o n a l e s 3 < / s t r i n g > < / k e y > < v a l u e > < i n t > 3 0 < / i n t > < / v a l u e > < / i t e m > < i t e m > < k e y > < s t r i n g > E s t d o s   U n i d o s   y   C a n a d � 4 < / s t r i n g > < / k e y > < v a l u e > < i n t > 3 1 < / i n t > < / v a l u e > < / i t e m > < i t e m > < k e y > < s t r i n g > V e l o c i d a d   d e   b a j a d a   o f e r t a d a   ( M b p s ) < / s t r i n g > < / k e y > < v a l u e > < i n t > 3 2 < / i n t > < / v a l u e > < / i t e m > < i t e m > < k e y > < s t r i n g > V e l o c i d a d   d e   s u b i d a   o f e r t a d a   ( M b p s ) < / s t r i n g > < / k e y > < v a l u e > < i n t > 3 3 < / i n t > < / v a l u e > < / i t e m > < i t e m > < k e y > < s t r i n g > � C u e n t a   c o n   p r o m o c i o n e s   q u e   i n c r e m e n t e n   s u   v e l o c i d a d   a   p a r t i r   d e l   p a g o   d e   l a   m i s m a   r e n t a   m e n s u a l ?   ( S < / s t r i n g > < / k e y > < v a l u e > < i n t > 3 4 < / i n t > < / v a l u e > < / i t e m > < i t e m > < k e y > < s t r i n g > D u r a c i � n   d e l   p e r i o d o   d e   t i e m p o   ( e n   m e s e s )   e n   q u e   o f r e c e   l a   p r o m o c i � n   d e   i n c r e m e n t o   d e   v e l o c i d a d < / s t r i n g > < / k e y > < v a l u e > < i n t > 3 5 < / i n t > < / v a l u e > < / i t e m > < i t e m > < k e y > < s t r i n g > V e l o c i d a d   d e   s u b i d a   o f e r t a d a   ( M b p s )   c o n   l a   p r o m o c i � n   d e   a u m e n t o   d e   v e l o c i d a d < / s t r i n g > < / k e y > < v a l u e > < i n t > 3 6 < / i n t > < / v a l u e > < / i t e m > < i t e m > < k e y > < s t r i n g > V e l o c i d a d   d e   b a j a d a   o f e r t a d a   ( M b p s )   c o n   l a   p r o m o c i � n   d e   a u m e n t o   d e   v e l o c i d a d < / s t r i n g > < / k e y > < v a l u e > < i n t > 3 7 < / i n t > < / v a l u e > < / i t e m > < i t e m > < k e y > < s t r i n g > V e l o c i d a d   d e   s u b i d a   o f e r t a d a   ( M b p s )   c o n   l a   p r o m o c i � n   d e   a u m e n t o   d e   v e l o c i d a d 5 < / s t r i n g > < / k e y > < v a l u e > < i n t > 3 8 < / i n t > < / v a l u e > < / i t e m > < i t e m > < k e y > < s t r i n g > V e l o c i d a d   d e   b a j a d a   o f e r t a d a   ( M b p s )   c o n   l a   p r o m o c i � n   d e   a u m e n t o   d e   v e l o c i d a d 6 < / s t r i n g > < / k e y > < v a l u e > < i n t > 3 9 < / i n t > < / v a l u e > < / i t e m > < i t e m > < k e y > < s t r i n g > V e l o c i d a d   d e   s u b i d a   o f e r t a d a   ( M b p s )   c o n   l a   p r o m o c i � n   d e   a u m e n t o   d e   v e l o c i d a d 7 < / s t r i n g > < / k e y > < v a l u e > < i n t > 4 0 < / i n t > < / v a l u e > < / i t e m > < i t e m > < k e y > < s t r i n g > � C u e n t a   c o n   p r o m o c i o n e s   q u e   v u e l v a n   s u   v e l o c i d a d   s i m � t r i c a   p a r t i r   d e l   p a g o   d e   l a   m i s m a   r e n t a   m e n s u a l < / s t r i n g > < / k e y > < v a l u e > < i n t > 4 1 < / i n t > < / v a l u e > < / i t e m > < i t e m > < k e y > < s t r i n g > D u r a c i � n   d e l   p e r i o d o   d e   t i e m p o   ( e n   m e s e s )   e n   q u e   o f r e c e   l a   p r o m o c i � n   d e   s i m e t r � a   e n   l a   v e l o c i d a d < / s t r i n g > < / k e y > < v a l u e > < i n t > 4 2 < / i n t > < / v a l u e > < / i t e m > < i t e m > < k e y > < s t r i n g > � I n c l u y e   P a r a m o u n t   + ? < / s t r i n g > < / k e y > < v a l u e > < i n t > 4 3 < / i n t > < / v a l u e > < / i t e m > < i t e m > < k e y > < s t r i n g > T � r m i n o s   y   c o n d i c i o n e s   d e l   s e r v i c i o * * < / s t r i n g > < / k e y > < v a l u e > < i n t > 4 4 < / i n t > < / v a l u e > < / i t e m > < i t e m > < k e y > < s t r i n g > D u r a c i � n   d e l   p e r i o d o   d e   t i e m p o   ( e n   m e s e s )   e n   q u e   o f r e c e   a   l o s   u s u a r i o s   f i n a l e s   e l   s e r v i c i o   d e   P a r a m o < / s t r i n g > < / k e y > < v a l u e > < i n t > 4 5 < / i n t > < / v a l u e > < / i t e m > < i t e m > < k e y > < s t r i n g > � I n c l u y e   m a x ? < / s t r i n g > < / k e y > < v a l u e > < i n t > 4 6 < / i n t > < / v a l u e > < / i t e m > < i t e m > < k e y > < s t r i n g > T � r m i n o s   y   c o n d i c i o n e s   d e l   s e r v i c i o * * 8 < / s t r i n g > < / k e y > < v a l u e > < i n t > 4 7 < / i n t > < / v a l u e > < / i t e m > < i t e m > < k e y > < s t r i n g > D u r a c i � n   d e l   p e r i o d o   d e   t i e m p o   ( e n   m e s e s )   e n   q u e   o f r e c e   a   l o s   u s u a r i o s   f i n a l e s   e l   s e r v i c i o   d e   m a x   s i < / s t r i n g > < / k e y > < v a l u e > < i n t > 4 8 < / i n t > < / v a l u e > < / i t e m > < i t e m > < k e y > < s t r i n g > � I n c l u y e   m a x ?   9 < / s t r i n g > < / k e y > < v a l u e > < i n t > 4 9 < / i n t > < / v a l u e > < / i t e m > < i t e m > < k e y > < s t r i n g > T � r m i n o s   y   c o n d i c i o n e s   d e l   s e r v i c i o * * 1 0 < / s t r i n g > < / k e y > < v a l u e > < i n t > 5 0 < / i n t > < / v a l u e > < / i t e m > < i t e m > < k e y > < s t r i n g > D u r a c i � n   d e l   p e r i o d o   d e   t i e m p o   ( e n   m e s e s )   e n   q u e   o f r e c e   a   l o s   u s u a r i o s   f i n a l e s   e l   s e r v i c i o   d e   m a x     2 < / s t r i n g > < / k e y > < v a l u e > < i n t > 5 1 < / i n t > < / v a l u e > < / i t e m > < i t e m > < k e y > < s t r i n g > C a n t i d a d   d e   s e r v i c i o s   a d i c i o n a l e s   i n c l u i d o s < / s t r i n g > < / k e y > < v a l u e > < i n t > 5 2 < / i n t > < / v a l u e > < / i t e m > < i t e m > < k e y > < s t r i n g > N o m b r e   d e   l o s   s e r v i c i o s   a d i c i o n a l e s   i n c l u i d o s   ( p o r   e j e m p l o   (   I d e n t i f i c a d o r   d e   l l a m a d a s ,   D e s v i o   d e   l l < / s t r i n g > < / k e y > < v a l u e > < i n t > 5 3 < / i n t > < / v a l u e > < / i t e m > < i t e m > < k e y > < s t r i n g > T V   a d i c i o n a l   * * * < / s t r i n g > < / k e y > < v a l u e > < i n t > 5 4 < / i n t > < / v a l u e > < / i t e m > < i t e m > < k e y > < s t r i n g > C a r g o   p o r   i n s t a l a c i � n   * * * < / s t r i n g > < / k e y > < v a l u e > < i n t > 5 5 < / i n t > < / v a l u e > < / i t e m > < i t e m > < k e y > < s t r i n g > E q u i p o   t e r m i n a l   ( M � d e m / O N T ) * * * < / s t r i n g > < / k e y > < v a l u e > < i n t > 5 6 < / i n t > < / v a l u e > < / i t e m > < i t e m > < k e y > < s t r i n g > D e c o d i f i c a d o r   ( d i g i t a l )   * * * < / s t r i n g > < / k e y > < v a l u e > < i n t > 5 7 < / i n t > < / v a l u e > < / i t e m > < i t e m > < k e y > < s t r i n g > X v i e w   +   /   X v i e w   * * * < / s t r i n g > < / k e y > < v a l u e > < i n t > 5 8 < / i n t > < / v a l u e > < / i t e m > < i t e m > < k e y > < s t r i n g > S e r v i c i o   C l o u d     ( C l o u d   1 ,   C l o u d   2 )   * * * < / s t r i n g > < / k e y > < v a l u e > < i n t > 5 9 < / i n t > < / v a l u e > < / i t e m > < i t e m > < k e y > < s t r i n g > M e g a   M � v i l   * * * < / s t r i n g > < / k e y > < v a l u e > < i n t > 6 0 < / i n t > < / v a l u e > < / i t e m > < i t e m > < k e y > < s t r i n g > E x t e n s o r   M e s h   * * * < / s t r i n g > < / k e y > < v a l u e > < i n t > 6 1 < / i n t > < / v a l u e > < / i t e m > < i t e m > < k e y > < s t r i n g > N o r t o n   S e c u r i t y   * * *   N o r t o n   F a m i l y   * * *   N o r t o n   S e c u r e   V P N   * * * < / s t r i n g > < / k e y > < v a l u e > < i n t > 6 2 < / i n t > < / v a l u e > < / i t e m > < i t e m > < k e y > < s t r i n g > F o x   S p o r t   P r e m i u m   * * * * < / s t r i n g > < / k e y > < v a l u e > < i n t > 6 3 < / i n t > < / v a l u e > < / i t e m > < i t e m > < k e y > < s t r i n g > N B A   L e a g u e   P a s s   * * * * < / s t r i n g > < / k e y > < v a l u e > < i n t > 6 4 < / i n t > < / v a l u e > < / i t e m > < i t e m > < k e y > < s t r i n g > M B L   * * * * < / s t r i n g > < / k e y > < v a l u e > < i n t > 6 5 < / i n t > < / v a l u e > < / i t e m > < i t e m > < k e y > < s t r i n g > O t r o s   I n c l u y a   l a s   c o l u m n a s   q u e   s e a n   n e c e s a r i a s < / s t r i n g > < / k e y > < v a l u e > < i n t > 6 6 < / 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D408251A-E3D3-4448-B945-BB5614E75AC9}">
  <ds:schemaRefs/>
</ds:datastoreItem>
</file>

<file path=customXml/itemProps10.xml><?xml version="1.0" encoding="utf-8"?>
<ds:datastoreItem xmlns:ds="http://schemas.openxmlformats.org/officeDocument/2006/customXml" ds:itemID="{0A611715-7D38-4F1E-AFDF-39EC58FDA048}">
  <ds:schemaRefs/>
</ds:datastoreItem>
</file>

<file path=customXml/itemProps11.xml><?xml version="1.0" encoding="utf-8"?>
<ds:datastoreItem xmlns:ds="http://schemas.openxmlformats.org/officeDocument/2006/customXml" ds:itemID="{7FE33414-725A-40F8-8EB9-AC2416C9DBA5}">
  <ds:schemaRefs/>
</ds:datastoreItem>
</file>

<file path=customXml/itemProps12.xml><?xml version="1.0" encoding="utf-8"?>
<ds:datastoreItem xmlns:ds="http://schemas.openxmlformats.org/officeDocument/2006/customXml" ds:itemID="{B88F20B8-C38D-43AF-AC31-375A9CD0281C}">
  <ds:schemaRefs/>
</ds:datastoreItem>
</file>

<file path=customXml/itemProps13.xml><?xml version="1.0" encoding="utf-8"?>
<ds:datastoreItem xmlns:ds="http://schemas.openxmlformats.org/officeDocument/2006/customXml" ds:itemID="{583D26B2-C2D4-4F88-A6BB-037701B15289}">
  <ds:schemaRefs/>
</ds:datastoreItem>
</file>

<file path=customXml/itemProps14.xml><?xml version="1.0" encoding="utf-8"?>
<ds:datastoreItem xmlns:ds="http://schemas.openxmlformats.org/officeDocument/2006/customXml" ds:itemID="{96A101E2-CF9E-4DFC-AFE9-76BC2B478EA7}">
  <ds:schemaRefs/>
</ds:datastoreItem>
</file>

<file path=customXml/itemProps15.xml><?xml version="1.0" encoding="utf-8"?>
<ds:datastoreItem xmlns:ds="http://schemas.openxmlformats.org/officeDocument/2006/customXml" ds:itemID="{288FFFAA-F639-432D-AE8B-A59CF883D67B}">
  <ds:schemaRefs/>
</ds:datastoreItem>
</file>

<file path=customXml/itemProps16.xml><?xml version="1.0" encoding="utf-8"?>
<ds:datastoreItem xmlns:ds="http://schemas.openxmlformats.org/officeDocument/2006/customXml" ds:itemID="{D8FC6865-7A8B-49F2-BD63-BB42B24FAFD5}">
  <ds:schemaRefs/>
</ds:datastoreItem>
</file>

<file path=customXml/itemProps17.xml><?xml version="1.0" encoding="utf-8"?>
<ds:datastoreItem xmlns:ds="http://schemas.openxmlformats.org/officeDocument/2006/customXml" ds:itemID="{CC87C8E8-23D2-49EE-B0E9-D74E75F242CD}">
  <ds:schemaRefs/>
</ds:datastoreItem>
</file>

<file path=customXml/itemProps18.xml><?xml version="1.0" encoding="utf-8"?>
<ds:datastoreItem xmlns:ds="http://schemas.openxmlformats.org/officeDocument/2006/customXml" ds:itemID="{E148BD68-BA79-4DEB-88D7-649EDB3D9908}">
  <ds:schemaRefs/>
</ds:datastoreItem>
</file>

<file path=customXml/itemProps19.xml><?xml version="1.0" encoding="utf-8"?>
<ds:datastoreItem xmlns:ds="http://schemas.openxmlformats.org/officeDocument/2006/customXml" ds:itemID="{2E13F12A-7AAC-49F6-AA43-BA535A86DD6B}">
  <ds:schemaRefs/>
</ds:datastoreItem>
</file>

<file path=customXml/itemProps2.xml><?xml version="1.0" encoding="utf-8"?>
<ds:datastoreItem xmlns:ds="http://schemas.openxmlformats.org/officeDocument/2006/customXml" ds:itemID="{5B03A511-6A21-421C-8909-860A7A2AD8FE}">
  <ds:schemaRefs/>
</ds:datastoreItem>
</file>

<file path=customXml/itemProps20.xml><?xml version="1.0" encoding="utf-8"?>
<ds:datastoreItem xmlns:ds="http://schemas.openxmlformats.org/officeDocument/2006/customXml" ds:itemID="{B8186022-FEF0-4EB5-8210-8549C8CE0B51}">
  <ds:schemaRefs/>
</ds:datastoreItem>
</file>

<file path=customXml/itemProps21.xml><?xml version="1.0" encoding="utf-8"?>
<ds:datastoreItem xmlns:ds="http://schemas.openxmlformats.org/officeDocument/2006/customXml" ds:itemID="{096980D0-ABEB-465C-8182-A87BBB68D468}">
  <ds:schemaRefs/>
</ds:datastoreItem>
</file>

<file path=customXml/itemProps22.xml><?xml version="1.0" encoding="utf-8"?>
<ds:datastoreItem xmlns:ds="http://schemas.openxmlformats.org/officeDocument/2006/customXml" ds:itemID="{C12B2DCF-024F-449E-AD4A-98341662156C}">
  <ds:schemaRefs/>
</ds:datastoreItem>
</file>

<file path=customXml/itemProps23.xml><?xml version="1.0" encoding="utf-8"?>
<ds:datastoreItem xmlns:ds="http://schemas.openxmlformats.org/officeDocument/2006/customXml" ds:itemID="{F22FAB35-705A-4E0C-8112-733746568689}">
  <ds:schemaRefs/>
</ds:datastoreItem>
</file>

<file path=customXml/itemProps24.xml><?xml version="1.0" encoding="utf-8"?>
<ds:datastoreItem xmlns:ds="http://schemas.openxmlformats.org/officeDocument/2006/customXml" ds:itemID="{DC111CFC-9D8E-49A2-9AC1-D6CAE61F620C}">
  <ds:schemaRefs/>
</ds:datastoreItem>
</file>

<file path=customXml/itemProps25.xml><?xml version="1.0" encoding="utf-8"?>
<ds:datastoreItem xmlns:ds="http://schemas.openxmlformats.org/officeDocument/2006/customXml" ds:itemID="{0C8885A5-19B4-4036-8389-8D522FA29FE5}">
  <ds:schemaRefs/>
</ds:datastoreItem>
</file>

<file path=customXml/itemProps26.xml><?xml version="1.0" encoding="utf-8"?>
<ds:datastoreItem xmlns:ds="http://schemas.openxmlformats.org/officeDocument/2006/customXml" ds:itemID="{0C0516DC-5F0A-4CF6-BD57-3C48A2CF0BB2}">
  <ds:schemaRefs/>
</ds:datastoreItem>
</file>

<file path=customXml/itemProps27.xml><?xml version="1.0" encoding="utf-8"?>
<ds:datastoreItem xmlns:ds="http://schemas.openxmlformats.org/officeDocument/2006/customXml" ds:itemID="{04FE4C83-B8AF-4232-BE0F-28A351DA03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027de5-4fa1-4b3b-b037-3c59b9ed5c3d"/>
    <ds:schemaRef ds:uri="0f9bfead-820e-4107-aaaf-47e5e77485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8.xml><?xml version="1.0" encoding="utf-8"?>
<ds:datastoreItem xmlns:ds="http://schemas.openxmlformats.org/officeDocument/2006/customXml" ds:itemID="{3211EB6D-FD57-4C99-A262-1CBE3791CDEE}">
  <ds:schemaRefs>
    <ds:schemaRef ds:uri="http://schemas.microsoft.com/sharepoint/v3/contenttype/forms"/>
  </ds:schemaRefs>
</ds:datastoreItem>
</file>

<file path=customXml/itemProps29.xml><?xml version="1.0" encoding="utf-8"?>
<ds:datastoreItem xmlns:ds="http://schemas.openxmlformats.org/officeDocument/2006/customXml" ds:itemID="{5B4A6FFF-A57B-41C3-A996-190DE1A21075}">
  <ds:schemaRefs>
    <ds:schemaRef ds:uri="http://purl.org/dc/terms/"/>
    <ds:schemaRef ds:uri="http://purl.org/dc/dcmitype/"/>
    <ds:schemaRef ds:uri="http://purl.org/dc/elements/1.1/"/>
    <ds:schemaRef ds:uri="f4027de5-4fa1-4b3b-b037-3c59b9ed5c3d"/>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0f9bfead-820e-4107-aaaf-47e5e77485e7"/>
    <ds:schemaRef ds:uri="http://schemas.microsoft.com/office/2006/metadata/properties"/>
  </ds:schemaRefs>
</ds:datastoreItem>
</file>

<file path=customXml/itemProps3.xml><?xml version="1.0" encoding="utf-8"?>
<ds:datastoreItem xmlns:ds="http://schemas.openxmlformats.org/officeDocument/2006/customXml" ds:itemID="{88C25915-0E8A-4066-BBBA-8A158A90B889}">
  <ds:schemaRefs/>
</ds:datastoreItem>
</file>

<file path=customXml/itemProps4.xml><?xml version="1.0" encoding="utf-8"?>
<ds:datastoreItem xmlns:ds="http://schemas.openxmlformats.org/officeDocument/2006/customXml" ds:itemID="{0CD87A8B-164F-44A5-9517-9723AE8AF967}">
  <ds:schemaRefs/>
</ds:datastoreItem>
</file>

<file path=customXml/itemProps5.xml><?xml version="1.0" encoding="utf-8"?>
<ds:datastoreItem xmlns:ds="http://schemas.openxmlformats.org/officeDocument/2006/customXml" ds:itemID="{E408B8BD-1375-4FDE-A76E-0FD7C49B368F}">
  <ds:schemaRefs/>
</ds:datastoreItem>
</file>

<file path=customXml/itemProps6.xml><?xml version="1.0" encoding="utf-8"?>
<ds:datastoreItem xmlns:ds="http://schemas.openxmlformats.org/officeDocument/2006/customXml" ds:itemID="{30DE84DC-40F3-4CDB-B41C-8E437E04601E}">
  <ds:schemaRefs/>
</ds:datastoreItem>
</file>

<file path=customXml/itemProps7.xml><?xml version="1.0" encoding="utf-8"?>
<ds:datastoreItem xmlns:ds="http://schemas.openxmlformats.org/officeDocument/2006/customXml" ds:itemID="{05312835-F1A0-40C6-86FB-7E8A9D3440F5}">
  <ds:schemaRefs/>
</ds:datastoreItem>
</file>

<file path=customXml/itemProps8.xml><?xml version="1.0" encoding="utf-8"?>
<ds:datastoreItem xmlns:ds="http://schemas.openxmlformats.org/officeDocument/2006/customXml" ds:itemID="{2BB44AE9-B20C-409A-A07F-23054E68FC2D}">
  <ds:schemaRefs/>
</ds:datastoreItem>
</file>

<file path=customXml/itemProps9.xml><?xml version="1.0" encoding="utf-8"?>
<ds:datastoreItem xmlns:ds="http://schemas.openxmlformats.org/officeDocument/2006/customXml" ds:itemID="{526BC873-123A-405F-8B84-6024AD10437A}">
  <ds:schemaRefs/>
</ds:datastoreItem>
</file>

<file path=docMetadata/LabelInfo.xml><?xml version="1.0" encoding="utf-8"?>
<clbl:labelList xmlns:clbl="http://schemas.microsoft.com/office/2020/mipLabelMetadata">
  <clbl:label id="{7f4d25dc-0cb0-4908-89bf-16102a1937e6}" enabled="0" method="" siteId="{7f4d25dc-0cb0-4908-89bf-16102a1937e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40</vt:i4>
      </vt:variant>
    </vt:vector>
  </HeadingPairs>
  <TitlesOfParts>
    <vt:vector size="50" baseType="lpstr">
      <vt:lpstr>S</vt:lpstr>
      <vt:lpstr>Listas</vt:lpstr>
      <vt:lpstr>Control</vt:lpstr>
      <vt:lpstr>Mercado</vt:lpstr>
      <vt:lpstr>Cálculos auxiliares</vt:lpstr>
      <vt:lpstr>Cálculos principales</vt:lpstr>
      <vt:lpstr>Calculos STAR</vt:lpstr>
      <vt:lpstr>Resultados</vt:lpstr>
      <vt:lpstr>Datos APSM--&gt;</vt:lpstr>
      <vt:lpstr>Base</vt:lpstr>
      <vt:lpstr>Admin.costs</vt:lpstr>
      <vt:lpstr>Admin.staff.per.customer.care.staff</vt:lpstr>
      <vt:lpstr>APSM.STAR.distribution.by.plan</vt:lpstr>
      <vt:lpstr>APSM.STAR.lines</vt:lpstr>
      <vt:lpstr>APSM.STAR.subs.by.plan</vt:lpstr>
      <vt:lpstr>APSM.STAR.user.only.residential</vt:lpstr>
      <vt:lpstr>APSM.STAR.users.only.noresidential</vt:lpstr>
      <vt:lpstr>Bad.debt.cost</vt:lpstr>
      <vt:lpstr>Billing.cost</vt:lpstr>
      <vt:lpstr>Customer.care.line.STAR.per.staff</vt:lpstr>
      <vt:lpstr>equipo.terminal.parameter</vt:lpstr>
      <vt:lpstr>Floorspace.per.staff</vt:lpstr>
      <vt:lpstr>instalación</vt:lpstr>
      <vt:lpstr>installation.charge</vt:lpstr>
      <vt:lpstr>Line.rental.churn</vt:lpstr>
      <vt:lpstr>Marketing.and.sales.minimum.proportion.STAR</vt:lpstr>
      <vt:lpstr>Marketing.and.sales.per.gross.add.STAR</vt:lpstr>
      <vt:lpstr>modalidad</vt:lpstr>
      <vt:lpstr>Monthly.cost.per.staff</vt:lpstr>
      <vt:lpstr>Rent.per.sqm</vt:lpstr>
      <vt:lpstr>retail.minus.line.STAR.retail.minus.items.only</vt:lpstr>
      <vt:lpstr>retail.minus.star.doble</vt:lpstr>
      <vt:lpstr>retail.minus.star.triple</vt:lpstr>
      <vt:lpstr>Retail.profit</vt:lpstr>
      <vt:lpstr>vector.distribution.users.STAR</vt:lpstr>
      <vt:lpstr>vector.implicit.prices.otherservices.after.discount</vt:lpstr>
      <vt:lpstr>vector.implicit.prices.otherservices.before.discount</vt:lpstr>
      <vt:lpstr>vector.implicit.prices.STAR.after.discount</vt:lpstr>
      <vt:lpstr>vector.implicit.prices.STAR.before.discount</vt:lpstr>
      <vt:lpstr>vector.periodicity</vt:lpstr>
      <vt:lpstr>vector.plans.names</vt:lpstr>
      <vt:lpstr>vector.star.plans.names</vt:lpstr>
      <vt:lpstr>vector.star.plans.singleplay.names</vt:lpstr>
      <vt:lpstr>vector.users.broadband</vt:lpstr>
      <vt:lpstr>vector.users.distribution.telephone</vt:lpstr>
      <vt:lpstr>vector.users.STAR</vt:lpstr>
      <vt:lpstr>weighted.average.local.loop.by.plan</vt:lpstr>
      <vt:lpstr>Year.selected</vt:lpstr>
      <vt:lpstr>Years</vt:lpstr>
      <vt:lpstr>years.client.retention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2025-04-01T16:56:19Z</dcterms:created>
  <dcterms:modified xsi:type="dcterms:W3CDTF">2025-04-01T16:56:48Z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ata">
    <vt:lpwstr>ew0KICAiZG9jSUQiOiAiMDE4MmFjZmYtMzVhYS00Y2Q5LWJlNzEtYjViMDYxZGQ0NDEwIg0KfQ==</vt:lpwstr>
  </property>
  <property fmtid="{D5CDD505-2E9C-101B-9397-08002B2CF9AE}" pid="3" name="GVData0">
    <vt:lpwstr>(end)</vt:lpwstr>
  </property>
  <property fmtid="{D5CDD505-2E9C-101B-9397-08002B2CF9AE}" pid="4" name="ContentTypeId">
    <vt:lpwstr>0x01010050373C310612454E87FA67A34FACAE27</vt:lpwstr>
  </property>
</Properties>
</file>