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cesar.martinez\Downloads\"/>
    </mc:Choice>
  </mc:AlternateContent>
  <xr:revisionPtr revIDLastSave="0" documentId="8_{25408A89-A49C-441C-9D31-126DC915E519}" xr6:coauthVersionLast="36" xr6:coauthVersionMax="36" xr10:uidLastSave="{00000000-0000-0000-0000-000000000000}"/>
  <bookViews>
    <workbookView xWindow="-105" yWindow="-105" windowWidth="23250" windowHeight="12450" activeTab="10" xr2:uid="{90BF3181-1F7A-406A-BB78-06962DE989C0}"/>
  </bookViews>
  <sheets>
    <sheet name="C" sheetId="1" r:id="rId1"/>
    <sheet name="V" sheetId="2" r:id="rId2"/>
    <sheet name="S" sheetId="3" r:id="rId3"/>
    <sheet name="Listas" sheetId="4" r:id="rId4"/>
    <sheet name="Control" sheetId="5" r:id="rId5"/>
    <sheet name="Mercado" sheetId="6" r:id="rId6"/>
    <sheet name="Cálculos auxiliares" sheetId="7" r:id="rId7"/>
    <sheet name="Cálculos principales" sheetId="8" r:id="rId8"/>
    <sheet name="Calculos Renta de Linea y Voz" sheetId="9" r:id="rId9"/>
    <sheet name="Calculos Banda Ancha" sheetId="10" r:id="rId10"/>
    <sheet name="Tarifas SRL" sheetId="11" r:id="rId11"/>
    <sheet name="Datos AEP--&gt;" sheetId="12" r:id="rId12"/>
    <sheet name="Planes y paquetes" sheetId="13" r:id="rId13"/>
    <sheet name="Precios" sheetId="14" r:id="rId14"/>
  </sheets>
  <definedNames>
    <definedName name="_xlnm._FilterDatabase" localSheetId="6" hidden="1">'Cálculos auxiliares'!$A$57:$BJ$57</definedName>
    <definedName name="_xlnm._FilterDatabase" localSheetId="8" hidden="1">'Calculos Renta de Linea y Voz'!$Q$50:$Q$53</definedName>
    <definedName name="_xlnm._FilterDatabase" localSheetId="12" hidden="1">'Planes y paquetes'!$A$96:$DL$179</definedName>
    <definedName name="_xlnm._FilterDatabase" localSheetId="13" hidden="1">Precios!$A$279:$CM$352</definedName>
    <definedName name="_xlnm._FilterDatabase" localSheetId="10" hidden="1">'Tarifas SRL'!$A$104:$BA$104</definedName>
    <definedName name="_GSRATES_1" hidden="1">"H2005092920050930USDMXN1000001"</definedName>
    <definedName name="_GSRATES_10" hidden="1">"CF3000012003033120030101"</definedName>
    <definedName name="_GSRATES_2" hidden="1">"H2005092920050930USDMXN1000001"</definedName>
    <definedName name="_GSRATES_3" hidden="1">"CF300006Invalid 20010630"</definedName>
    <definedName name="_GSRATES_4" hidden="1">"CF3000012002063020010630"</definedName>
    <definedName name="_GSRATES_5" hidden="1">"CF30000920020930        "</definedName>
    <definedName name="_GSRATES_6" hidden="1">"CF30000920010930        "</definedName>
    <definedName name="_GSRATES_7" hidden="1">"CF50000120020930        "</definedName>
    <definedName name="_GSRATES_8" hidden="1">"CT30000120020930        "</definedName>
    <definedName name="_GSRATES_9" hidden="1">"CF5000012003033120020101"</definedName>
    <definedName name="_GSRATES_COUNT" hidden="1">2</definedName>
    <definedName name="_Order2" hidden="1">255</definedName>
    <definedName name="_Regression_Int" hidden="1">1</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dmin.costs">Control!$I$48</definedName>
    <definedName name="Admin.staff.per.customer.care.staff">Control!$I$46</definedName>
    <definedName name="AEP.broadband.distribution.by.plan">Mercado!$C$21:$O$54</definedName>
    <definedName name="AEP.broadband.subs.by.plan">Mercado!$C$62:$O$95</definedName>
    <definedName name="AEP.broadband.subs.non.residential">Mercado!$I$107:$O$107</definedName>
    <definedName name="AEP.broadband.subs.residential">Mercado!$I$101:$O$101</definedName>
    <definedName name="AEP.broadband.subs.residential.with.line.rental">Mercado!$I$103:$O$103</definedName>
    <definedName name="AEP.broadband.subs.residential.without.line.rental">Mercado!$I$105:$O$105</definedName>
    <definedName name="AEP.telephone.lines">Mercado!$I$120:$O$120</definedName>
    <definedName name="AEP.telephone.lines.voice.only">Mercado!$I$141:$O$141</definedName>
    <definedName name="AEP.telephone.lines.voice.only.noresidential">Mercado!$I$145:$O$145</definedName>
    <definedName name="AEP.telephone.lines.voice.only.residential">Mercado!$I$143:$O$143</definedName>
    <definedName name="AEP.telephony.distribution.by.plan">Mercado!$C$169:$O$188</definedName>
    <definedName name="AEP.telephony.subs.by.plan">Mercado!$C$195:$O$214</definedName>
    <definedName name="_xlnm.Print_Area" localSheetId="0">'C'!$A$1:$E$47</definedName>
    <definedName name="_xlnm.Print_Area" localSheetId="1">V!$A$1:$D$59</definedName>
    <definedName name="Bad.debt.cost">Control!$I$17</definedName>
    <definedName name="Billing.cost">Control!$I$14</definedName>
    <definedName name="billion">1000000000</definedName>
    <definedName name="bit.conversion">1024</definedName>
    <definedName name="bit.per.byte">8</definedName>
    <definedName name="Broadbad.suscriptions.AEP">Mercado!$I$10:$O$10</definedName>
    <definedName name="Broadbad.suscriptions.market">Mercado!$I$10:$O$10</definedName>
    <definedName name="Broadband.gross.adds.non.residential">'Calculos Banda Ancha'!$J$32</definedName>
    <definedName name="Broadband.gross.adds.residential.with.line.rental">'Calculos Banda Ancha'!$J$23</definedName>
    <definedName name="cell.pi">2.6</definedName>
    <definedName name="clarovideo.rental.without.taxes">Control!$I$64</definedName>
    <definedName name="Customer.care.broadbandsubscriber.per.staff">Control!$I$30</definedName>
    <definedName name="Customer.care.line.rental.per.staff">Control!$I$31</definedName>
    <definedName name="Cwvu.Full_Year." hidden="1">#N/A</definedName>
    <definedName name="days.per.month">30.42</definedName>
    <definedName name="days.per.year">365</definedName>
    <definedName name="epsilon">0.000001</definedName>
    <definedName name="equipo.terminal.parameter">Control!$I$67</definedName>
    <definedName name="error" hidden="1">#N/A</definedName>
    <definedName name="error1" hidden="1">#N/A</definedName>
    <definedName name="factor.Mbps.to.Kbps">Listas!$S$4</definedName>
    <definedName name="Floorspace.per.staff">Control!$I$42</definedName>
    <definedName name="hours.per.day">24</definedName>
    <definedName name="HTML" localSheetId="12" hidden="1">{"'System_Table'!$A$1:$AM$58"}</definedName>
    <definedName name="HTML" localSheetId="13" hidden="1">{"'System_Table'!$A$1:$AM$58"}</definedName>
    <definedName name="HTML" hidden="1">{"'System_Table'!$A$1:$AM$58"}</definedName>
    <definedName name="HTML_CodePage" hidden="1">1252</definedName>
    <definedName name="HTML_Control" localSheetId="12" hidden="1">{"'System_Table'!$A$1:$AM$58"}</definedName>
    <definedName name="HTML_Control" localSheetId="13" hidden="1">{"'System_Table'!$A$1:$AM$58"}</definedName>
    <definedName name="HTML_Control" hidden="1">{"'System_Table'!$A$1:$AM$58"}</definedName>
    <definedName name="HTML_Description" hidden="1">"Westpac UNIX Systems"</definedName>
    <definedName name="HTML_Email" hidden="1">""</definedName>
    <definedName name="HTML_Header" hidden="1">"System_Table"</definedName>
    <definedName name="HTML_LastUpdate" hidden="1">"1/28/98"</definedName>
    <definedName name="HTML_LineAfter" hidden="1">FALSE</definedName>
    <definedName name="HTML_LineBefore" hidden="1">FALSE</definedName>
    <definedName name="HTML_Name" hidden="1">"Roger Ottery"</definedName>
    <definedName name="HTML_OBDlg2" hidden="1">TRUE</definedName>
    <definedName name="HTML_OBDlg4" hidden="1">TRUE</definedName>
    <definedName name="HTML_OS" hidden="1">0</definedName>
    <definedName name="HTML_PathFile" hidden="1">"C:\data\HTML\Systems.htm"</definedName>
    <definedName name="HTML_Title" hidden="1">"SYSEXCEL"</definedName>
    <definedName name="Internal" hidden="1">#N/A</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39221.3754976852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ne.rental.churn">Control!$I$11</definedName>
    <definedName name="local.loop.cooper">Control!$I$59</definedName>
    <definedName name="local.loop.FTTC">Control!$I$60</definedName>
    <definedName name="local.loop.optical.fiber">Control!$I$61</definedName>
    <definedName name="Marketing.and.sales.minimum.proportion.broadband">Control!$I$26</definedName>
    <definedName name="Marketing.and.sales.minimum.proportion.line.rental">Control!$I$25</definedName>
    <definedName name="Marketing.and.sales.per.gross.add.broadband">Control!$I$22</definedName>
    <definedName name="Marketing.and.sales.per.gross.add.line.rental">Control!$I$21</definedName>
    <definedName name="million">1000000</definedName>
    <definedName name="minutes.per.hour">60</definedName>
    <definedName name="modalidad">'Cálculos principales'!$I$7:$AR$7</definedName>
    <definedName name="Monthly.cost.per.staff">Control!$I$33</definedName>
    <definedName name="months.per.year">12</definedName>
    <definedName name="Rent.per.sqm">Control!$I$44</definedName>
    <definedName name="Retail.minus.additional.calls">'Calculos Renta de Linea y Voz'!$M$102</definedName>
    <definedName name="Retail.minus.additional.calls.retail.minus.items.only">'Calculos Renta de Linea y Voz'!$M$104</definedName>
    <definedName name="Retail.minus.bitstream.retail.minus.items.only">'Tarifas SRL'!$D$69</definedName>
    <definedName name="Retail.minus.int">'Calculos Banda Ancha'!$J$104</definedName>
    <definedName name="Retail.minus.int.retail.minus.items.only">'Calculos Banda Ancha'!$J$106</definedName>
    <definedName name="Retail.minus.line.rental">'Calculos Renta de Linea y Voz'!$J$102</definedName>
    <definedName name="Retail.minus.line.rental.retail.minus.items.only">'Calculos Renta de Linea y Voz'!$J$104</definedName>
    <definedName name="Retail.profit">Control!$I$51</definedName>
    <definedName name="Rwvu.Full_Year." hidden="1">#N/A</definedName>
    <definedName name="SAPBEXhrIndnt" hidden="1">1</definedName>
    <definedName name="SAPBEXrevision" hidden="1">6</definedName>
    <definedName name="SAPBEXsysID" hidden="1">"BWP"</definedName>
    <definedName name="SAPBEXwbID" hidden="1">"41D4CLBV2R4F1IQN1VK18MLGT"</definedName>
    <definedName name="seconds.per.hour">3600</definedName>
    <definedName name="seconds.per.minute">60</definedName>
    <definedName name="servicio">'Cálculos principales'!$I$5:$AR$5</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2</definedName>
    <definedName name="solver_nwt" hidden="1">1</definedName>
    <definedName name="solver_pre" hidden="1">0.000001</definedName>
    <definedName name="solver_rel1" hidden="1">3</definedName>
    <definedName name="solver_rel2" hidden="1">3</definedName>
    <definedName name="solver_rhs1" hidden="1">0</definedName>
    <definedName name="solver_rhs2"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uscriptores2020">Mercado!$L$61</definedName>
    <definedName name="suscriptores2021">Mercado!$M$61</definedName>
    <definedName name="suscriptores2023">Mercado!$N$61</definedName>
    <definedName name="suscriptores2024">Mercado!$O$61</definedName>
    <definedName name="thousand">1000</definedName>
    <definedName name="unit.cost.digital.service.1">'Cálculos auxiliares'!$I$7</definedName>
    <definedName name="unit.cost.digital.service.3">'Cálculos auxiliares'!$I$8</definedName>
    <definedName name="unit.cost.digital.service.4">'Cálculos auxiliares'!$I$9</definedName>
    <definedName name="unit.cost.digital.service.5">'Cálculos auxiliares'!$I$10</definedName>
    <definedName name="vector.broadband.plans.names">Listas!$H$4:$H$37</definedName>
    <definedName name="vector.broadband.plans.singleplay.names">Listas!$N$4:$N$19</definedName>
    <definedName name="vector.distribution.users.broadband">'Cálculos principales'!$K$10:$AR$10</definedName>
    <definedName name="vector.downstream.publicited.speed">'Cálculos principales'!#REF!</definedName>
    <definedName name="vector.implicit.prices.broadband.after.discount">'Cálculos principales'!$I$70:$AR$70</definedName>
    <definedName name="vector.implicit.prices.broadband.before.discount">'Cálculos principales'!$I$58:$AR$58</definedName>
    <definedName name="vector.implicit.prices.digitalservices.after.discount">'Cálculos principales'!$I$51:$AR$51</definedName>
    <definedName name="vector.implicit.prices.digitalservices.before.discount">'Cálculos principales'!$I$34:$AR$34</definedName>
    <definedName name="vector.implicit.prices.line.rental.after.discount">'Cálculos principales'!$I$49:$AR$49</definedName>
    <definedName name="vector.implicit.prices.line.rental.before.discount">'Cálculos principales'!$I$27:$AR$27</definedName>
    <definedName name="vector.implicit.prices.serviciosasociadosbandaancha.afterdiscount">'Cálculos principales'!#REF!</definedName>
    <definedName name="vector.implicit.prices.voice.after.discount">'Cálculos principales'!$I$50:$AR$50</definedName>
    <definedName name="vector.implicit.prices.voice.before.discount">'Cálculos principales'!$I$30:$AR$30</definedName>
    <definedName name="vector.lines.publicited">'Cálculos principales'!$I$25:$AR$25</definedName>
    <definedName name="vector.num">'Tarifas SRL'!$D$105:$D$122</definedName>
    <definedName name="vector.periodicity">'Cálculos principales'!$I$16:$AR$16</definedName>
    <definedName name="vector.plans.available">'Cálculos principales'!$I$19:$AR$19</definedName>
    <definedName name="vector.plans.names">Listas!$E$4:$E$39</definedName>
    <definedName name="vector.plans.with.line.rental.noresidential">'Cálculos principales'!$I$21:$AR$21</definedName>
    <definedName name="vector.plans.with.line.rental.residential">'Cálculos principales'!$I$20:$AR$20</definedName>
    <definedName name="vector.telephony.plans.names">Listas!$K$4:$K$23</definedName>
    <definedName name="vector.telephony.plans.singleplay.names">Listas!$Q$4:$Q$5</definedName>
    <definedName name="vector.users.broadband">'Cálculos principales'!$I$9:$AR$9</definedName>
    <definedName name="vector.users.distribution.telephone">'Cálculos principales'!$I$13:$AR$13</definedName>
    <definedName name="vector.users.telephone">'Cálculos principales'!$I$12:$AR$12</definedName>
    <definedName name="weighted.average.local.loop.by.plan">'Cálculos auxiliares'!$D$17:$K$50</definedName>
    <definedName name="weighted.average.local.loop.by.plan.by.tx.media">'Cálculos auxiliares'!$D$115:$J$126</definedName>
    <definedName name="Workbook.Author">'C'!$B$14</definedName>
    <definedName name="Workbook.Authors_Email_Address">'C'!$B$15</definedName>
    <definedName name="Workbook.Objective">'C'!$B$6</definedName>
    <definedName name="Workbook.Status">'C'!$B$9</definedName>
    <definedName name="Workbook.Title">'C'!$B$5</definedName>
    <definedName name="Workbook.Version">'C'!$B$8</definedName>
    <definedName name="Year.selected">Control!$I$6</definedName>
    <definedName name="Years">Listas!$B$4:$B$10</definedName>
    <definedName name="years.client.retention">Control!$I$56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3" l="1"/>
  <c r="N21" i="6"/>
  <c r="AT526" i="14"/>
  <c r="AS526" i="14"/>
  <c r="AR526" i="14"/>
  <c r="AT525" i="14"/>
  <c r="AS525" i="14"/>
  <c r="AR525" i="14"/>
  <c r="AT524" i="14"/>
  <c r="AS524" i="14"/>
  <c r="AR524" i="14"/>
  <c r="AT523" i="14"/>
  <c r="AS523" i="14"/>
  <c r="AR523" i="14"/>
  <c r="AT522" i="14"/>
  <c r="AS522" i="14"/>
  <c r="AR522" i="14"/>
  <c r="AT521" i="14"/>
  <c r="AS521" i="14"/>
  <c r="AR521" i="14"/>
  <c r="AT520" i="14"/>
  <c r="AS520" i="14"/>
  <c r="AR520" i="14"/>
  <c r="AT519" i="14"/>
  <c r="AS519" i="14"/>
  <c r="AR519" i="14"/>
  <c r="AT518" i="14"/>
  <c r="AS518" i="14"/>
  <c r="AR518" i="14"/>
  <c r="AT517" i="14"/>
  <c r="AS517" i="14"/>
  <c r="AR517" i="14"/>
  <c r="AT516" i="14"/>
  <c r="AS516" i="14"/>
  <c r="AR516" i="14"/>
  <c r="AT515" i="14"/>
  <c r="AS515" i="14"/>
  <c r="AR515" i="14"/>
  <c r="AT514" i="14"/>
  <c r="AS514" i="14"/>
  <c r="AR514" i="14"/>
  <c r="AT513" i="14"/>
  <c r="AS513" i="14"/>
  <c r="AR513" i="14"/>
  <c r="AT512" i="14"/>
  <c r="AS512" i="14"/>
  <c r="AR512" i="14"/>
  <c r="AT511" i="14"/>
  <c r="AS511" i="14"/>
  <c r="AR511" i="14"/>
  <c r="AT510" i="14"/>
  <c r="AS510" i="14"/>
  <c r="AR510" i="14"/>
  <c r="AT509" i="14"/>
  <c r="AS509" i="14"/>
  <c r="AR509" i="14"/>
  <c r="AT508" i="14"/>
  <c r="AS508" i="14"/>
  <c r="AR508" i="14"/>
  <c r="AT507" i="14"/>
  <c r="AS507" i="14"/>
  <c r="AR507" i="14"/>
  <c r="AT506" i="14"/>
  <c r="AS506" i="14"/>
  <c r="AR506" i="14"/>
  <c r="AT505" i="14"/>
  <c r="AS505" i="14"/>
  <c r="AR505" i="14"/>
  <c r="AT504" i="14"/>
  <c r="AS504" i="14"/>
  <c r="AR504" i="14"/>
  <c r="AT503" i="14"/>
  <c r="AS503" i="14"/>
  <c r="AR503" i="14"/>
  <c r="AT502" i="14"/>
  <c r="AS502" i="14"/>
  <c r="AR502" i="14"/>
  <c r="AT501" i="14"/>
  <c r="AS501" i="14"/>
  <c r="AR501" i="14"/>
  <c r="AT500" i="14"/>
  <c r="AS500" i="14"/>
  <c r="AR500" i="14"/>
  <c r="AT499" i="14"/>
  <c r="AS499" i="14"/>
  <c r="AR499" i="14"/>
  <c r="AT498" i="14"/>
  <c r="AS498" i="14"/>
  <c r="AR498" i="14"/>
  <c r="AT497" i="14"/>
  <c r="AS497" i="14"/>
  <c r="AR497" i="14"/>
  <c r="AT496" i="14"/>
  <c r="AS496" i="14"/>
  <c r="AR496" i="14"/>
  <c r="AT495" i="14"/>
  <c r="AS495" i="14"/>
  <c r="AR495" i="14"/>
  <c r="AT494" i="14"/>
  <c r="AS494" i="14"/>
  <c r="AR494" i="14"/>
  <c r="AT493" i="14"/>
  <c r="AS493" i="14"/>
  <c r="AR493" i="14"/>
  <c r="AT492" i="14"/>
  <c r="AS492" i="14"/>
  <c r="AR492" i="14"/>
  <c r="AT491" i="14"/>
  <c r="AS491" i="14"/>
  <c r="AR491" i="14"/>
  <c r="AT490" i="14"/>
  <c r="AS490" i="14"/>
  <c r="AR490" i="14"/>
  <c r="AT489" i="14"/>
  <c r="AS489" i="14"/>
  <c r="AR489" i="14"/>
  <c r="AT488" i="14"/>
  <c r="AS488" i="14"/>
  <c r="AR488" i="14"/>
  <c r="AT487" i="14"/>
  <c r="AS487" i="14"/>
  <c r="AR487" i="14"/>
  <c r="AT486" i="14"/>
  <c r="AS486" i="14"/>
  <c r="AR486" i="14"/>
  <c r="AT485" i="14"/>
  <c r="AS485" i="14"/>
  <c r="AR485" i="14"/>
  <c r="AT484" i="14"/>
  <c r="AS484" i="14"/>
  <c r="AR484" i="14"/>
  <c r="AT483" i="14"/>
  <c r="AS483" i="14"/>
  <c r="AR483" i="14"/>
  <c r="AT482" i="14"/>
  <c r="AS482" i="14"/>
  <c r="AR482" i="14"/>
  <c r="AT481" i="14"/>
  <c r="AS481" i="14"/>
  <c r="AR481" i="14"/>
  <c r="AT480" i="14"/>
  <c r="AS480" i="14"/>
  <c r="AR480" i="14"/>
  <c r="AT479" i="14"/>
  <c r="AS479" i="14"/>
  <c r="AR479" i="14"/>
  <c r="AT478" i="14"/>
  <c r="AS478" i="14"/>
  <c r="AR478" i="14"/>
  <c r="AT477" i="14"/>
  <c r="AS477" i="14"/>
  <c r="AR477" i="14"/>
  <c r="AT476" i="14"/>
  <c r="AS476" i="14"/>
  <c r="AR476" i="14"/>
  <c r="AT475" i="14"/>
  <c r="AS475" i="14"/>
  <c r="AR475" i="14"/>
  <c r="AT474" i="14"/>
  <c r="AS474" i="14"/>
  <c r="AR474" i="14"/>
  <c r="AT473" i="14"/>
  <c r="AS473" i="14"/>
  <c r="AR473" i="14"/>
  <c r="AT472" i="14"/>
  <c r="AS472" i="14"/>
  <c r="AR472" i="14"/>
  <c r="AT471" i="14"/>
  <c r="AS471" i="14"/>
  <c r="AR471" i="14"/>
  <c r="AT470" i="14"/>
  <c r="AS470" i="14"/>
  <c r="AR470" i="14"/>
  <c r="AT469" i="14"/>
  <c r="AS469" i="14"/>
  <c r="AR469" i="14"/>
  <c r="AT468" i="14"/>
  <c r="AS468" i="14"/>
  <c r="AR468" i="14"/>
  <c r="AT467" i="14"/>
  <c r="AS467" i="14"/>
  <c r="AR467" i="14"/>
  <c r="AT466" i="14"/>
  <c r="AS466" i="14"/>
  <c r="AR466" i="14"/>
  <c r="AT465" i="14"/>
  <c r="AS465" i="14"/>
  <c r="AR465" i="14"/>
  <c r="AT464" i="14"/>
  <c r="AS464" i="14"/>
  <c r="AR464" i="14"/>
  <c r="AT463" i="14"/>
  <c r="AS463" i="14"/>
  <c r="AR463" i="14"/>
  <c r="AT462" i="14"/>
  <c r="AS462" i="14"/>
  <c r="AR462" i="14"/>
  <c r="AT461" i="14"/>
  <c r="AS461" i="14"/>
  <c r="AR461" i="14"/>
  <c r="AT460" i="14"/>
  <c r="AS460" i="14"/>
  <c r="AR460" i="14"/>
  <c r="AT459" i="14"/>
  <c r="AS459" i="14"/>
  <c r="AR459" i="14"/>
  <c r="AT458" i="14"/>
  <c r="AS458" i="14"/>
  <c r="AR458" i="14"/>
  <c r="B458" i="14"/>
  <c r="B459" i="14" s="1"/>
  <c r="B460" i="14" s="1"/>
  <c r="B461" i="14" s="1"/>
  <c r="B462" i="14" s="1"/>
  <c r="B463" i="14" s="1"/>
  <c r="B464" i="14" s="1"/>
  <c r="B465" i="14" s="1"/>
  <c r="B466" i="14" s="1"/>
  <c r="B467" i="14" s="1"/>
  <c r="B468" i="14" s="1"/>
  <c r="B469" i="14" s="1"/>
  <c r="B470" i="14" s="1"/>
  <c r="B471" i="14" s="1"/>
  <c r="B472" i="14" s="1"/>
  <c r="B473" i="14" s="1"/>
  <c r="B474" i="14" s="1"/>
  <c r="B475" i="14" s="1"/>
  <c r="B476" i="14" s="1"/>
  <c r="B477" i="14" s="1"/>
  <c r="B478" i="14" s="1"/>
  <c r="B479" i="14" s="1"/>
  <c r="B480" i="14" s="1"/>
  <c r="B481" i="14" s="1"/>
  <c r="B482" i="14" s="1"/>
  <c r="B483" i="14" s="1"/>
  <c r="B484" i="14" s="1"/>
  <c r="B485" i="14" s="1"/>
  <c r="B486" i="14" s="1"/>
  <c r="B487" i="14" s="1"/>
  <c r="B488" i="14" s="1"/>
  <c r="B489" i="14" s="1"/>
  <c r="B490" i="14" s="1"/>
  <c r="B491" i="14" s="1"/>
  <c r="B492" i="14" s="1"/>
  <c r="B493" i="14" s="1"/>
  <c r="B494" i="14" s="1"/>
  <c r="B495" i="14" s="1"/>
  <c r="B496" i="14" s="1"/>
  <c r="B497" i="14" s="1"/>
  <c r="B498" i="14" s="1"/>
  <c r="B499" i="14" s="1"/>
  <c r="B500" i="14" s="1"/>
  <c r="B501" i="14" s="1"/>
  <c r="B502" i="14" s="1"/>
  <c r="B503" i="14" s="1"/>
  <c r="B504" i="14" s="1"/>
  <c r="B505" i="14" s="1"/>
  <c r="B506" i="14" s="1"/>
  <c r="B507" i="14" s="1"/>
  <c r="B508" i="14" s="1"/>
  <c r="B509" i="14" s="1"/>
  <c r="B510" i="14" s="1"/>
  <c r="B511" i="14" s="1"/>
  <c r="B512" i="14" s="1"/>
  <c r="B513" i="14" s="1"/>
  <c r="B514" i="14" s="1"/>
  <c r="B515" i="14" s="1"/>
  <c r="B516" i="14" s="1"/>
  <c r="B517" i="14" s="1"/>
  <c r="B518" i="14" s="1"/>
  <c r="B519" i="14" s="1"/>
  <c r="B520" i="14" s="1"/>
  <c r="B521" i="14" s="1"/>
  <c r="B522" i="14" s="1"/>
  <c r="B523" i="14" s="1"/>
  <c r="B524" i="14" s="1"/>
  <c r="B525" i="14" s="1"/>
  <c r="B526" i="14" s="1"/>
  <c r="AT457" i="14"/>
  <c r="AS457" i="14"/>
  <c r="AR457" i="14"/>
  <c r="AT456" i="14"/>
  <c r="AS456" i="14"/>
  <c r="AR456" i="14"/>
  <c r="AT455" i="14"/>
  <c r="AS455" i="14"/>
  <c r="AR455" i="14"/>
  <c r="AT454" i="14"/>
  <c r="AS454" i="14"/>
  <c r="AR454" i="14"/>
  <c r="AT453" i="14"/>
  <c r="AS453" i="14"/>
  <c r="AR453" i="14"/>
  <c r="B453" i="14"/>
  <c r="B454" i="14" s="1"/>
  <c r="B455" i="14" s="1"/>
  <c r="B456" i="14" s="1"/>
  <c r="B457" i="14" s="1"/>
  <c r="AT452" i="14"/>
  <c r="AS452" i="14"/>
  <c r="AR452" i="14"/>
  <c r="AT451" i="14"/>
  <c r="AS451" i="14"/>
  <c r="AR451" i="14"/>
  <c r="AT450" i="14"/>
  <c r="AS450" i="14"/>
  <c r="AR450" i="14"/>
  <c r="B450" i="14"/>
  <c r="B451" i="14" s="1"/>
  <c r="B452" i="14" s="1"/>
  <c r="AT449" i="14"/>
  <c r="AS449" i="14"/>
  <c r="AR449" i="14"/>
  <c r="AT448" i="14"/>
  <c r="AS448" i="14"/>
  <c r="AR448" i="14"/>
  <c r="B448" i="14"/>
  <c r="B449" i="14" s="1"/>
  <c r="AT447" i="14"/>
  <c r="AS447" i="14"/>
  <c r="AR447" i="14"/>
  <c r="D444" i="14"/>
  <c r="E444" i="14" s="1"/>
  <c r="F444" i="14" s="1"/>
  <c r="G444" i="14" s="1"/>
  <c r="H444" i="14" s="1"/>
  <c r="I444" i="14" s="1"/>
  <c r="J444" i="14" s="1"/>
  <c r="K444" i="14" s="1"/>
  <c r="L444" i="14" s="1"/>
  <c r="M444" i="14" s="1"/>
  <c r="N444" i="14" s="1"/>
  <c r="O444" i="14" s="1"/>
  <c r="P444" i="14" s="1"/>
  <c r="Q444" i="14" s="1"/>
  <c r="R444" i="14" s="1"/>
  <c r="S444" i="14" s="1"/>
  <c r="T444" i="14" s="1"/>
  <c r="U444" i="14" s="1"/>
  <c r="V444" i="14" s="1"/>
  <c r="W444" i="14" s="1"/>
  <c r="X444" i="14" s="1"/>
  <c r="Y444" i="14" s="1"/>
  <c r="Z444" i="14" s="1"/>
  <c r="AA444" i="14" s="1"/>
  <c r="AB444" i="14" s="1"/>
  <c r="AC444" i="14" s="1"/>
  <c r="AD444" i="14" s="1"/>
  <c r="AE444" i="14" s="1"/>
  <c r="AF444" i="14" s="1"/>
  <c r="AG444" i="14" s="1"/>
  <c r="AH444" i="14" s="1"/>
  <c r="AI444" i="14" s="1"/>
  <c r="AJ444" i="14" s="1"/>
  <c r="AK444" i="14" s="1"/>
  <c r="AL444" i="14" s="1"/>
  <c r="AM444" i="14" s="1"/>
  <c r="AN444" i="14" s="1"/>
  <c r="AO444" i="14" s="1"/>
  <c r="AP444" i="14" s="1"/>
  <c r="AQ444" i="14" s="1"/>
  <c r="AR444" i="14" s="1"/>
  <c r="AS444" i="14" s="1"/>
  <c r="AT444" i="14" s="1"/>
  <c r="Z439" i="14"/>
  <c r="Y439" i="14"/>
  <c r="X439" i="14"/>
  <c r="Z438" i="14"/>
  <c r="Y438" i="14"/>
  <c r="X438" i="14"/>
  <c r="Z437" i="14"/>
  <c r="Y437" i="14"/>
  <c r="X437" i="14"/>
  <c r="Z436" i="14"/>
  <c r="Y436" i="14"/>
  <c r="X436" i="14"/>
  <c r="Z435" i="14"/>
  <c r="Y435" i="14"/>
  <c r="X435" i="14"/>
  <c r="Z434" i="14"/>
  <c r="Y434" i="14"/>
  <c r="X434" i="14"/>
  <c r="Z433" i="14"/>
  <c r="Y433" i="14"/>
  <c r="X433" i="14"/>
  <c r="Z432" i="14"/>
  <c r="Y432" i="14"/>
  <c r="X432" i="14"/>
  <c r="Z431" i="14"/>
  <c r="Y431" i="14"/>
  <c r="X431" i="14"/>
  <c r="Z430" i="14"/>
  <c r="Y430" i="14"/>
  <c r="X430" i="14"/>
  <c r="Z429" i="14"/>
  <c r="Y429" i="14"/>
  <c r="X429" i="14"/>
  <c r="Z428" i="14"/>
  <c r="Y428" i="14"/>
  <c r="X428" i="14"/>
  <c r="Z427" i="14"/>
  <c r="Y427" i="14"/>
  <c r="X427" i="14"/>
  <c r="Z426" i="14"/>
  <c r="Y426" i="14"/>
  <c r="X426" i="14"/>
  <c r="Z425" i="14"/>
  <c r="Y425" i="14"/>
  <c r="X425" i="14"/>
  <c r="Z424" i="14"/>
  <c r="Y424" i="14"/>
  <c r="X424" i="14"/>
  <c r="Z423" i="14"/>
  <c r="Y423" i="14"/>
  <c r="X423" i="14"/>
  <c r="Z422" i="14"/>
  <c r="Y422" i="14"/>
  <c r="X422" i="14"/>
  <c r="Z421" i="14"/>
  <c r="Y421" i="14"/>
  <c r="X421" i="14"/>
  <c r="Z420" i="14"/>
  <c r="Y420" i="14"/>
  <c r="X420" i="14"/>
  <c r="Z419" i="14"/>
  <c r="Y419" i="14"/>
  <c r="X419" i="14"/>
  <c r="Z418" i="14"/>
  <c r="Y418" i="14"/>
  <c r="X418" i="14"/>
  <c r="Z417" i="14"/>
  <c r="Y417" i="14"/>
  <c r="X417" i="14"/>
  <c r="Z416" i="14"/>
  <c r="Y416" i="14"/>
  <c r="X416" i="14"/>
  <c r="Z415" i="14"/>
  <c r="Y415" i="14"/>
  <c r="X415" i="14"/>
  <c r="Z414" i="14"/>
  <c r="Y414" i="14"/>
  <c r="X414" i="14"/>
  <c r="Z413" i="14"/>
  <c r="Y413" i="14"/>
  <c r="X413" i="14"/>
  <c r="Z412" i="14"/>
  <c r="Y412" i="14"/>
  <c r="X412" i="14"/>
  <c r="Z411" i="14"/>
  <c r="Y411" i="14"/>
  <c r="X411" i="14"/>
  <c r="Z410" i="14"/>
  <c r="Y410" i="14"/>
  <c r="X410" i="14"/>
  <c r="Z409" i="14"/>
  <c r="Y409" i="14"/>
  <c r="X409" i="14"/>
  <c r="Z408" i="14"/>
  <c r="Y408" i="14"/>
  <c r="X408" i="14"/>
  <c r="Z407" i="14"/>
  <c r="Y407" i="14"/>
  <c r="X407" i="14"/>
  <c r="Z406" i="14"/>
  <c r="Y406" i="14"/>
  <c r="X406" i="14"/>
  <c r="Z405" i="14"/>
  <c r="Y405" i="14"/>
  <c r="X405" i="14"/>
  <c r="Z404" i="14"/>
  <c r="Y404" i="14"/>
  <c r="X404" i="14"/>
  <c r="Z403" i="14"/>
  <c r="Y403" i="14"/>
  <c r="X403" i="14"/>
  <c r="Z402" i="14"/>
  <c r="Y402" i="14"/>
  <c r="X402" i="14"/>
  <c r="Z401" i="14"/>
  <c r="Y401" i="14"/>
  <c r="X401" i="14"/>
  <c r="Z400" i="14"/>
  <c r="Y400" i="14"/>
  <c r="X400" i="14"/>
  <c r="Z399" i="14"/>
  <c r="Y399" i="14"/>
  <c r="X399" i="14"/>
  <c r="Z398" i="14"/>
  <c r="Y398" i="14"/>
  <c r="X398" i="14"/>
  <c r="Z397" i="14"/>
  <c r="Y397" i="14"/>
  <c r="X397" i="14"/>
  <c r="Z396" i="14"/>
  <c r="Y396" i="14"/>
  <c r="X396" i="14"/>
  <c r="Z395" i="14"/>
  <c r="Y395" i="14"/>
  <c r="X395" i="14"/>
  <c r="Z394" i="14"/>
  <c r="Y394" i="14"/>
  <c r="X394" i="14"/>
  <c r="Z393" i="14"/>
  <c r="Y393" i="14"/>
  <c r="X393" i="14"/>
  <c r="Z392" i="14"/>
  <c r="Y392" i="14"/>
  <c r="X392" i="14"/>
  <c r="Z391" i="14"/>
  <c r="Y391" i="14"/>
  <c r="X391" i="14"/>
  <c r="Z390" i="14"/>
  <c r="Y390" i="14"/>
  <c r="X390" i="14"/>
  <c r="Z389" i="14"/>
  <c r="Y389" i="14"/>
  <c r="X389" i="14"/>
  <c r="Z388" i="14"/>
  <c r="Y388" i="14"/>
  <c r="X388" i="14"/>
  <c r="Z387" i="14"/>
  <c r="Y387" i="14"/>
  <c r="X387" i="14"/>
  <c r="Z386" i="14"/>
  <c r="Y386" i="14"/>
  <c r="X386" i="14"/>
  <c r="Z385" i="14"/>
  <c r="Y385" i="14"/>
  <c r="X385" i="14"/>
  <c r="Z384" i="14"/>
  <c r="Y384" i="14"/>
  <c r="X384" i="14"/>
  <c r="Z383" i="14"/>
  <c r="Y383" i="14"/>
  <c r="X383" i="14"/>
  <c r="Z382" i="14"/>
  <c r="Y382" i="14"/>
  <c r="X382" i="14"/>
  <c r="Z381" i="14"/>
  <c r="Y381" i="14"/>
  <c r="X381" i="14"/>
  <c r="Z380" i="14"/>
  <c r="Y380" i="14"/>
  <c r="X380" i="14"/>
  <c r="Z379" i="14"/>
  <c r="Y379" i="14"/>
  <c r="X379" i="14"/>
  <c r="Z378" i="14"/>
  <c r="Y378" i="14"/>
  <c r="X378" i="14"/>
  <c r="Z377" i="14"/>
  <c r="Y377" i="14"/>
  <c r="X377" i="14"/>
  <c r="Z376" i="14"/>
  <c r="Y376" i="14"/>
  <c r="X376" i="14"/>
  <c r="Z375" i="14"/>
  <c r="Y375" i="14"/>
  <c r="X375" i="14"/>
  <c r="Z374" i="14"/>
  <c r="Y374" i="14"/>
  <c r="X374" i="14"/>
  <c r="Z373" i="14"/>
  <c r="Y373" i="14"/>
  <c r="X373" i="14"/>
  <c r="Z372" i="14"/>
  <c r="Y372" i="14"/>
  <c r="X372" i="14"/>
  <c r="B372" i="14"/>
  <c r="B373" i="14" s="1"/>
  <c r="B374" i="14" s="1"/>
  <c r="B375" i="14" s="1"/>
  <c r="B376" i="14" s="1"/>
  <c r="B377" i="14" s="1"/>
  <c r="B378" i="14" s="1"/>
  <c r="B379" i="14" s="1"/>
  <c r="B380" i="14" s="1"/>
  <c r="B381" i="14" s="1"/>
  <c r="B382" i="14" s="1"/>
  <c r="B383" i="14" s="1"/>
  <c r="B384" i="14" s="1"/>
  <c r="B385" i="14" s="1"/>
  <c r="B386" i="14" s="1"/>
  <c r="B387" i="14" s="1"/>
  <c r="B388" i="14" s="1"/>
  <c r="B389" i="14" s="1"/>
  <c r="B390" i="14" s="1"/>
  <c r="B391" i="14" s="1"/>
  <c r="B392" i="14" s="1"/>
  <c r="B393" i="14" s="1"/>
  <c r="B394" i="14" s="1"/>
  <c r="B395" i="14" s="1"/>
  <c r="B396" i="14" s="1"/>
  <c r="B397" i="14" s="1"/>
  <c r="B398" i="14" s="1"/>
  <c r="B399" i="14" s="1"/>
  <c r="B400" i="14" s="1"/>
  <c r="B401" i="14" s="1"/>
  <c r="B402" i="14" s="1"/>
  <c r="B403" i="14" s="1"/>
  <c r="B404" i="14" s="1"/>
  <c r="B405" i="14" s="1"/>
  <c r="B406" i="14" s="1"/>
  <c r="B407" i="14" s="1"/>
  <c r="B408" i="14" s="1"/>
  <c r="B409" i="14" s="1"/>
  <c r="B410" i="14" s="1"/>
  <c r="B411" i="14" s="1"/>
  <c r="B412" i="14" s="1"/>
  <c r="B413" i="14" s="1"/>
  <c r="B414" i="14" s="1"/>
  <c r="B415" i="14" s="1"/>
  <c r="B416" i="14" s="1"/>
  <c r="B417" i="14" s="1"/>
  <c r="B418" i="14" s="1"/>
  <c r="B419" i="14" s="1"/>
  <c r="B420" i="14" s="1"/>
  <c r="B421" i="14" s="1"/>
  <c r="B422" i="14" s="1"/>
  <c r="B423" i="14" s="1"/>
  <c r="B424" i="14" s="1"/>
  <c r="B425" i="14" s="1"/>
  <c r="B426" i="14" s="1"/>
  <c r="B427" i="14" s="1"/>
  <c r="B428" i="14" s="1"/>
  <c r="B429" i="14" s="1"/>
  <c r="B430" i="14" s="1"/>
  <c r="B431" i="14" s="1"/>
  <c r="B432" i="14" s="1"/>
  <c r="B433" i="14" s="1"/>
  <c r="B434" i="14" s="1"/>
  <c r="B435" i="14" s="1"/>
  <c r="B436" i="14" s="1"/>
  <c r="B437" i="14" s="1"/>
  <c r="B438" i="14" s="1"/>
  <c r="B439" i="14" s="1"/>
  <c r="Z371" i="14"/>
  <c r="Y371" i="14"/>
  <c r="X371" i="14"/>
  <c r="Z370" i="14"/>
  <c r="Y370" i="14"/>
  <c r="X370" i="14"/>
  <c r="Z369" i="14"/>
  <c r="Y369" i="14"/>
  <c r="X369" i="14"/>
  <c r="B369" i="14"/>
  <c r="B370" i="14" s="1"/>
  <c r="B371" i="14" s="1"/>
  <c r="Z368" i="14"/>
  <c r="Y368" i="14"/>
  <c r="X368" i="14"/>
  <c r="Z367" i="14"/>
  <c r="Y367" i="14"/>
  <c r="X367" i="14"/>
  <c r="Z366" i="14"/>
  <c r="Y366" i="14"/>
  <c r="X366" i="14"/>
  <c r="Z365" i="14"/>
  <c r="Y365" i="14"/>
  <c r="X365" i="14"/>
  <c r="Z364" i="14"/>
  <c r="Y364" i="14"/>
  <c r="X364" i="14"/>
  <c r="B364" i="14"/>
  <c r="B365" i="14" s="1"/>
  <c r="B366" i="14" s="1"/>
  <c r="B367" i="14" s="1"/>
  <c r="B368" i="14" s="1"/>
  <c r="Z363" i="14"/>
  <c r="Y363" i="14"/>
  <c r="X363" i="14"/>
  <c r="B363" i="14"/>
  <c r="Z362" i="14"/>
  <c r="Y362" i="14"/>
  <c r="X362" i="14"/>
  <c r="Z361" i="14"/>
  <c r="Y361" i="14"/>
  <c r="X361" i="14"/>
  <c r="B361" i="14"/>
  <c r="B362" i="14" s="1"/>
  <c r="Z360" i="14"/>
  <c r="Y360" i="14"/>
  <c r="X360" i="14"/>
  <c r="B340" i="14"/>
  <c r="B341" i="14" s="1"/>
  <c r="B342" i="14" s="1"/>
  <c r="B343" i="14" s="1"/>
  <c r="B344" i="14" s="1"/>
  <c r="B345" i="14" s="1"/>
  <c r="B346" i="14" s="1"/>
  <c r="B347" i="14" s="1"/>
  <c r="B348" i="14" s="1"/>
  <c r="B349" i="14" s="1"/>
  <c r="B350" i="14" s="1"/>
  <c r="B351" i="14" s="1"/>
  <c r="B352" i="14" s="1"/>
  <c r="B337" i="14"/>
  <c r="B338" i="14" s="1"/>
  <c r="B339" i="14" s="1"/>
  <c r="Z322" i="14"/>
  <c r="Y322" i="14"/>
  <c r="X322" i="14"/>
  <c r="Z321" i="14"/>
  <c r="Y321" i="14"/>
  <c r="X321" i="14"/>
  <c r="Z320" i="14"/>
  <c r="Y320" i="14"/>
  <c r="X320" i="14"/>
  <c r="Z319" i="14"/>
  <c r="Y319" i="14"/>
  <c r="X319" i="14"/>
  <c r="Z318" i="14"/>
  <c r="Y318" i="14"/>
  <c r="X318" i="14"/>
  <c r="Z317" i="14"/>
  <c r="Y317" i="14"/>
  <c r="X317" i="14"/>
  <c r="Z315" i="14"/>
  <c r="Y315" i="14"/>
  <c r="X315" i="14"/>
  <c r="Z313" i="14"/>
  <c r="Y313" i="14"/>
  <c r="X313" i="14"/>
  <c r="Z312" i="14"/>
  <c r="Y312" i="14"/>
  <c r="X312" i="14"/>
  <c r="Z311" i="14"/>
  <c r="Y311" i="14"/>
  <c r="X311" i="14"/>
  <c r="Z310" i="14"/>
  <c r="Y310" i="14"/>
  <c r="X310" i="14"/>
  <c r="Z309" i="14"/>
  <c r="Y309" i="14"/>
  <c r="X309" i="14"/>
  <c r="B309" i="14"/>
  <c r="B310" i="14" s="1"/>
  <c r="B311" i="14" s="1"/>
  <c r="B312" i="14" s="1"/>
  <c r="B313" i="14" s="1"/>
  <c r="B315" i="14" s="1"/>
  <c r="B317" i="14" s="1"/>
  <c r="B318" i="14" s="1"/>
  <c r="B319" i="14" s="1"/>
  <c r="B320" i="14" s="1"/>
  <c r="B321" i="14" s="1"/>
  <c r="B322" i="14" s="1"/>
  <c r="B323" i="14" s="1"/>
  <c r="B324" i="14" s="1"/>
  <c r="B325" i="14" s="1"/>
  <c r="B326" i="14" s="1"/>
  <c r="B327" i="14" s="1"/>
  <c r="B328" i="14" s="1"/>
  <c r="B329" i="14" s="1"/>
  <c r="B330" i="14" s="1"/>
  <c r="B331" i="14" s="1"/>
  <c r="B332" i="14" s="1"/>
  <c r="B333" i="14" s="1"/>
  <c r="B334" i="14" s="1"/>
  <c r="B335" i="14" s="1"/>
  <c r="B336" i="14" s="1"/>
  <c r="Z308" i="14"/>
  <c r="Y308" i="14"/>
  <c r="X308" i="14"/>
  <c r="Z307" i="14"/>
  <c r="Y307" i="14"/>
  <c r="X307" i="14"/>
  <c r="Z306" i="14"/>
  <c r="Y306" i="14"/>
  <c r="X306" i="14"/>
  <c r="Z305" i="14"/>
  <c r="Y305" i="14"/>
  <c r="X305" i="14"/>
  <c r="Z304" i="14"/>
  <c r="Y304" i="14"/>
  <c r="X304" i="14"/>
  <c r="Z303" i="14"/>
  <c r="Y303" i="14"/>
  <c r="X303" i="14"/>
  <c r="Z302" i="14"/>
  <c r="Y302" i="14"/>
  <c r="X302" i="14"/>
  <c r="Z301" i="14"/>
  <c r="Y301" i="14"/>
  <c r="X301" i="14"/>
  <c r="Z300" i="14"/>
  <c r="Y300" i="14"/>
  <c r="X300" i="14"/>
  <c r="Z299" i="14"/>
  <c r="Y299" i="14"/>
  <c r="X299" i="14"/>
  <c r="Z298" i="14"/>
  <c r="Y298" i="14"/>
  <c r="X298" i="14"/>
  <c r="Z297" i="14"/>
  <c r="Y297" i="14"/>
  <c r="X297" i="14"/>
  <c r="B297" i="14"/>
  <c r="B298" i="14" s="1"/>
  <c r="B299" i="14" s="1"/>
  <c r="B300" i="14" s="1"/>
  <c r="B301" i="14" s="1"/>
  <c r="B302" i="14" s="1"/>
  <c r="B303" i="14" s="1"/>
  <c r="B304" i="14" s="1"/>
  <c r="B305" i="14" s="1"/>
  <c r="B306" i="14" s="1"/>
  <c r="B307" i="14" s="1"/>
  <c r="B308" i="14" s="1"/>
  <c r="Z296" i="14"/>
  <c r="Y296" i="14"/>
  <c r="X296" i="14"/>
  <c r="Z295" i="14"/>
  <c r="Y295" i="14"/>
  <c r="X295" i="14"/>
  <c r="Z294" i="14"/>
  <c r="Y294" i="14"/>
  <c r="X294" i="14"/>
  <c r="Z293" i="14"/>
  <c r="Y293" i="14"/>
  <c r="X293" i="14"/>
  <c r="Z292" i="14"/>
  <c r="Y292" i="14"/>
  <c r="X292" i="14"/>
  <c r="Z291" i="14"/>
  <c r="Y291" i="14"/>
  <c r="X291" i="14"/>
  <c r="Z290" i="14"/>
  <c r="Y290" i="14"/>
  <c r="X290" i="14"/>
  <c r="Z289" i="14"/>
  <c r="Y289" i="14"/>
  <c r="X289" i="14"/>
  <c r="Z288" i="14"/>
  <c r="Y288" i="14"/>
  <c r="X288" i="14"/>
  <c r="Z287" i="14"/>
  <c r="Y287" i="14"/>
  <c r="X287" i="14"/>
  <c r="Z286" i="14"/>
  <c r="Y286" i="14"/>
  <c r="X286" i="14"/>
  <c r="Z285" i="14"/>
  <c r="Y285" i="14"/>
  <c r="X285" i="14"/>
  <c r="Z284" i="14"/>
  <c r="Y284" i="14"/>
  <c r="X284" i="14"/>
  <c r="Z283" i="14"/>
  <c r="Y283" i="14"/>
  <c r="X283" i="14"/>
  <c r="Z282" i="14"/>
  <c r="Y282" i="14"/>
  <c r="X282" i="14"/>
  <c r="B282" i="14"/>
  <c r="B283" i="14" s="1"/>
  <c r="B284" i="14" s="1"/>
  <c r="B285" i="14" s="1"/>
  <c r="B286" i="14" s="1"/>
  <c r="B287" i="14" s="1"/>
  <c r="B288" i="14" s="1"/>
  <c r="B289" i="14" s="1"/>
  <c r="B290" i="14" s="1"/>
  <c r="B291" i="14" s="1"/>
  <c r="B292" i="14" s="1"/>
  <c r="B293" i="14" s="1"/>
  <c r="B294" i="14" s="1"/>
  <c r="B295" i="14" s="1"/>
  <c r="B296" i="14" s="1"/>
  <c r="Z281" i="14"/>
  <c r="Y281" i="14"/>
  <c r="X281" i="14"/>
  <c r="B281" i="14"/>
  <c r="Z280" i="14"/>
  <c r="Y280" i="14"/>
  <c r="X280" i="14"/>
  <c r="B208" i="14"/>
  <c r="B209" i="14" s="1"/>
  <c r="B210" i="14" s="1"/>
  <c r="B211" i="14" s="1"/>
  <c r="B212" i="14" s="1"/>
  <c r="B213" i="14" s="1"/>
  <c r="B214" i="14" s="1"/>
  <c r="B215" i="14" s="1"/>
  <c r="B216" i="14" s="1"/>
  <c r="B217" i="14" s="1"/>
  <c r="B218" i="14" s="1"/>
  <c r="B219" i="14" s="1"/>
  <c r="B220" i="14" s="1"/>
  <c r="B221" i="14" s="1"/>
  <c r="B222" i="14" s="1"/>
  <c r="B223" i="14" s="1"/>
  <c r="B224" i="14" s="1"/>
  <c r="B225" i="14" s="1"/>
  <c r="B226" i="14" s="1"/>
  <c r="B227" i="14" s="1"/>
  <c r="B228" i="14" s="1"/>
  <c r="B229" i="14" s="1"/>
  <c r="B230" i="14" s="1"/>
  <c r="B231" i="14" s="1"/>
  <c r="B232" i="14" s="1"/>
  <c r="B233" i="14" s="1"/>
  <c r="B234" i="14" s="1"/>
  <c r="B235" i="14" s="1"/>
  <c r="B236" i="14" s="1"/>
  <c r="B237" i="14" s="1"/>
  <c r="B238" i="14" s="1"/>
  <c r="B239" i="14" s="1"/>
  <c r="B240" i="14" s="1"/>
  <c r="B241" i="14" s="1"/>
  <c r="B242" i="14" s="1"/>
  <c r="B243" i="14" s="1"/>
  <c r="B244" i="14" s="1"/>
  <c r="B245" i="14" s="1"/>
  <c r="B246" i="14" s="1"/>
  <c r="B247" i="14" s="1"/>
  <c r="B248" i="14" s="1"/>
  <c r="B249" i="14" s="1"/>
  <c r="B250" i="14" s="1"/>
  <c r="B251" i="14" s="1"/>
  <c r="B252" i="14" s="1"/>
  <c r="B253" i="14" s="1"/>
  <c r="B254" i="14" s="1"/>
  <c r="B255" i="14" s="1"/>
  <c r="B256" i="14" s="1"/>
  <c r="B257" i="14" s="1"/>
  <c r="B258" i="14" s="1"/>
  <c r="B259" i="14" s="1"/>
  <c r="B260" i="14" s="1"/>
  <c r="B261" i="14" s="1"/>
  <c r="B262" i="14" s="1"/>
  <c r="B263" i="14" s="1"/>
  <c r="B264" i="14" s="1"/>
  <c r="B265" i="14" s="1"/>
  <c r="B266" i="14" s="1"/>
  <c r="B267" i="14" s="1"/>
  <c r="B196" i="14"/>
  <c r="B197" i="14" s="1"/>
  <c r="B198" i="14" s="1"/>
  <c r="B199" i="14" s="1"/>
  <c r="B200" i="14" s="1"/>
  <c r="B201" i="14" s="1"/>
  <c r="B202" i="14" s="1"/>
  <c r="B203" i="14" s="1"/>
  <c r="B204" i="14" s="1"/>
  <c r="B205" i="14" s="1"/>
  <c r="B206" i="14" s="1"/>
  <c r="B207" i="14" s="1"/>
  <c r="B189" i="14"/>
  <c r="B190" i="14" s="1"/>
  <c r="B191" i="14" s="1"/>
  <c r="B192" i="14" s="1"/>
  <c r="B193" i="14" s="1"/>
  <c r="B194" i="14" s="1"/>
  <c r="B195" i="14" s="1"/>
  <c r="B104" i="14"/>
  <c r="B105" i="14" s="1"/>
  <c r="B106" i="14" s="1"/>
  <c r="B107" i="14" s="1"/>
  <c r="B108" i="14" s="1"/>
  <c r="B109" i="14" s="1"/>
  <c r="B110" i="14" s="1"/>
  <c r="B111" i="14" s="1"/>
  <c r="B112" i="14" s="1"/>
  <c r="B113" i="14" s="1"/>
  <c r="B114" i="14" s="1"/>
  <c r="B115" i="14" s="1"/>
  <c r="B116" i="14" s="1"/>
  <c r="B117" i="14" s="1"/>
  <c r="B118" i="14" s="1"/>
  <c r="B119" i="14" s="1"/>
  <c r="B120" i="14" s="1"/>
  <c r="B121" i="14" s="1"/>
  <c r="B122" i="14" s="1"/>
  <c r="B123" i="14" s="1"/>
  <c r="B124" i="14" s="1"/>
  <c r="B125" i="14" s="1"/>
  <c r="B126" i="14" s="1"/>
  <c r="B127" i="14" s="1"/>
  <c r="B128" i="14" s="1"/>
  <c r="B129" i="14" s="1"/>
  <c r="B130" i="14" s="1"/>
  <c r="B131" i="14" s="1"/>
  <c r="B132" i="14" s="1"/>
  <c r="B133" i="14" s="1"/>
  <c r="B134" i="14" s="1"/>
  <c r="B135" i="14" s="1"/>
  <c r="B136" i="14" s="1"/>
  <c r="B137" i="14" s="1"/>
  <c r="B138" i="14" s="1"/>
  <c r="B139" i="14" s="1"/>
  <c r="B140" i="14" s="1"/>
  <c r="B141" i="14" s="1"/>
  <c r="B142" i="14" s="1"/>
  <c r="B143" i="14" s="1"/>
  <c r="B144" i="14" s="1"/>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02" i="14"/>
  <c r="B103" i="14" s="1"/>
  <c r="B39" i="14"/>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B74" i="14" s="1"/>
  <c r="B75" i="14" s="1"/>
  <c r="B76" i="14" s="1"/>
  <c r="B77" i="14" s="1"/>
  <c r="B78" i="14" s="1"/>
  <c r="B79" i="14" s="1"/>
  <c r="B80" i="14" s="1"/>
  <c r="B81" i="14" s="1"/>
  <c r="B82" i="14" s="1"/>
  <c r="B83" i="14" s="1"/>
  <c r="B84" i="14" s="1"/>
  <c r="B85" i="14" s="1"/>
  <c r="B86" i="14" s="1"/>
  <c r="B87" i="14" s="1"/>
  <c r="B88" i="14" s="1"/>
  <c r="B89" i="14" s="1"/>
  <c r="B90" i="14" s="1"/>
  <c r="B91" i="14" s="1"/>
  <c r="B92" i="14" s="1"/>
  <c r="B93" i="14" s="1"/>
  <c r="B38" i="14"/>
  <c r="B37" i="14"/>
  <c r="B33" i="14"/>
  <c r="B34" i="14" s="1"/>
  <c r="B35" i="14" s="1"/>
  <c r="B36" i="14" s="1"/>
  <c r="B26" i="14"/>
  <c r="B27" i="14" s="1"/>
  <c r="B28" i="14" s="1"/>
  <c r="B29" i="14" s="1"/>
  <c r="B30" i="14" s="1"/>
  <c r="B31" i="14" s="1"/>
  <c r="B32" i="14" s="1"/>
  <c r="B25" i="14"/>
  <c r="B24" i="14"/>
  <c r="B23" i="14"/>
  <c r="B656" i="13"/>
  <c r="B657" i="13" s="1"/>
  <c r="B658" i="13" s="1"/>
  <c r="B659" i="13" s="1"/>
  <c r="B660" i="13" s="1"/>
  <c r="B661" i="13" s="1"/>
  <c r="B662" i="13" s="1"/>
  <c r="B663" i="13" s="1"/>
  <c r="B664" i="13" s="1"/>
  <c r="B665" i="13" s="1"/>
  <c r="B666" i="13" s="1"/>
  <c r="B667" i="13" s="1"/>
  <c r="B668" i="13" s="1"/>
  <c r="B669" i="13" s="1"/>
  <c r="B670" i="13" s="1"/>
  <c r="B671" i="13" s="1"/>
  <c r="B672" i="13" s="1"/>
  <c r="B673" i="13" s="1"/>
  <c r="B674" i="13" s="1"/>
  <c r="B675" i="13" s="1"/>
  <c r="B676" i="13" s="1"/>
  <c r="B677" i="13" s="1"/>
  <c r="B678" i="13" s="1"/>
  <c r="B679" i="13" s="1"/>
  <c r="B680" i="13" s="1"/>
  <c r="B681" i="13" s="1"/>
  <c r="B682" i="13" s="1"/>
  <c r="B683" i="13" s="1"/>
  <c r="B684" i="13" s="1"/>
  <c r="B685" i="13" s="1"/>
  <c r="B686" i="13" s="1"/>
  <c r="B687" i="13" s="1"/>
  <c r="B688" i="13" s="1"/>
  <c r="B689" i="13" s="1"/>
  <c r="B690" i="13" s="1"/>
  <c r="B691" i="13" s="1"/>
  <c r="B692" i="13" s="1"/>
  <c r="B693" i="13" s="1"/>
  <c r="B694" i="13" s="1"/>
  <c r="B695" i="13" s="1"/>
  <c r="B696" i="13" s="1"/>
  <c r="B697" i="13" s="1"/>
  <c r="B698" i="13" s="1"/>
  <c r="B699" i="13" s="1"/>
  <c r="B700" i="13" s="1"/>
  <c r="B701" i="13" s="1"/>
  <c r="B702" i="13" s="1"/>
  <c r="B703" i="13" s="1"/>
  <c r="B704" i="13" s="1"/>
  <c r="B705" i="13" s="1"/>
  <c r="B706" i="13" s="1"/>
  <c r="B707" i="13" s="1"/>
  <c r="B708" i="13" s="1"/>
  <c r="B709" i="13" s="1"/>
  <c r="B710" i="13" s="1"/>
  <c r="B711" i="13" s="1"/>
  <c r="B712" i="13" s="1"/>
  <c r="B713" i="13" s="1"/>
  <c r="B714" i="13" s="1"/>
  <c r="B715" i="13" s="1"/>
  <c r="B716" i="13" s="1"/>
  <c r="B717" i="13" s="1"/>
  <c r="B718" i="13" s="1"/>
  <c r="B719" i="13" s="1"/>
  <c r="B720" i="13" s="1"/>
  <c r="B721" i="13" s="1"/>
  <c r="B722" i="13" s="1"/>
  <c r="B723" i="13" s="1"/>
  <c r="B724" i="13" s="1"/>
  <c r="B725" i="13" s="1"/>
  <c r="B726" i="13" s="1"/>
  <c r="B727" i="13" s="1"/>
  <c r="B728" i="13" s="1"/>
  <c r="B729" i="13" s="1"/>
  <c r="B730" i="13" s="1"/>
  <c r="B731" i="13" s="1"/>
  <c r="B732" i="13" s="1"/>
  <c r="B733" i="13" s="1"/>
  <c r="B655" i="13"/>
  <c r="J652" i="13"/>
  <c r="L648" i="13"/>
  <c r="D648" i="13"/>
  <c r="E648" i="13" s="1"/>
  <c r="F648" i="13" s="1"/>
  <c r="G648" i="13" s="1"/>
  <c r="H648" i="13" s="1"/>
  <c r="I648" i="13" s="1"/>
  <c r="J648" i="13" s="1"/>
  <c r="K648" i="13" s="1"/>
  <c r="B639" i="13"/>
  <c r="B640" i="13" s="1"/>
  <c r="B641" i="13" s="1"/>
  <c r="B642" i="13" s="1"/>
  <c r="B643" i="13" s="1"/>
  <c r="B597" i="13"/>
  <c r="B598" i="13" s="1"/>
  <c r="B599" i="13" s="1"/>
  <c r="B600" i="13" s="1"/>
  <c r="B601" i="13" s="1"/>
  <c r="B602" i="13" s="1"/>
  <c r="B603" i="13" s="1"/>
  <c r="B604" i="13" s="1"/>
  <c r="B605" i="13" s="1"/>
  <c r="B606" i="13" s="1"/>
  <c r="B607" i="13" s="1"/>
  <c r="B608" i="13" s="1"/>
  <c r="B609" i="13" s="1"/>
  <c r="B610" i="13" s="1"/>
  <c r="B611" i="13" s="1"/>
  <c r="B612" i="13" s="1"/>
  <c r="B613" i="13" s="1"/>
  <c r="B614" i="13" s="1"/>
  <c r="B615" i="13" s="1"/>
  <c r="B616" i="13" s="1"/>
  <c r="B617" i="13" s="1"/>
  <c r="B618" i="13" s="1"/>
  <c r="B619" i="13" s="1"/>
  <c r="B620" i="13" s="1"/>
  <c r="B621" i="13" s="1"/>
  <c r="B622" i="13" s="1"/>
  <c r="B623" i="13" s="1"/>
  <c r="B624" i="13" s="1"/>
  <c r="B625" i="13" s="1"/>
  <c r="B626" i="13" s="1"/>
  <c r="B627" i="13" s="1"/>
  <c r="B628" i="13" s="1"/>
  <c r="B629" i="13" s="1"/>
  <c r="B630" i="13" s="1"/>
  <c r="B631" i="13" s="1"/>
  <c r="B632" i="13" s="1"/>
  <c r="B633" i="13" s="1"/>
  <c r="B634" i="13" s="1"/>
  <c r="B635" i="13" s="1"/>
  <c r="B636" i="13" s="1"/>
  <c r="B637" i="13" s="1"/>
  <c r="B638" i="13" s="1"/>
  <c r="B574" i="13"/>
  <c r="B575" i="13" s="1"/>
  <c r="B576" i="13" s="1"/>
  <c r="B577" i="13" s="1"/>
  <c r="B578" i="13" s="1"/>
  <c r="B579" i="13" s="1"/>
  <c r="B580" i="13" s="1"/>
  <c r="B581" i="13" s="1"/>
  <c r="B582" i="13" s="1"/>
  <c r="B583" i="13" s="1"/>
  <c r="B584" i="13" s="1"/>
  <c r="B585" i="13" s="1"/>
  <c r="B586" i="13" s="1"/>
  <c r="B587" i="13" s="1"/>
  <c r="B588" i="13" s="1"/>
  <c r="B589" i="13" s="1"/>
  <c r="B590" i="13" s="1"/>
  <c r="B591" i="13" s="1"/>
  <c r="B592" i="13" s="1"/>
  <c r="B593" i="13" s="1"/>
  <c r="B594" i="13" s="1"/>
  <c r="B595" i="13" s="1"/>
  <c r="B596" i="13" s="1"/>
  <c r="B572" i="13"/>
  <c r="B573" i="13" s="1"/>
  <c r="B565" i="13"/>
  <c r="B566" i="13" s="1"/>
  <c r="B567" i="13" s="1"/>
  <c r="B568" i="13" s="1"/>
  <c r="B569" i="13" s="1"/>
  <c r="B570" i="13" s="1"/>
  <c r="B571" i="13" s="1"/>
  <c r="O514" i="13"/>
  <c r="J514" i="13"/>
  <c r="B514" i="13"/>
  <c r="B515" i="13" s="1"/>
  <c r="B516" i="13" s="1"/>
  <c r="B517" i="13" s="1"/>
  <c r="B518" i="13" s="1"/>
  <c r="B519" i="13" s="1"/>
  <c r="B520" i="13" s="1"/>
  <c r="B521" i="13" s="1"/>
  <c r="B522" i="13" s="1"/>
  <c r="B523" i="13" s="1"/>
  <c r="B524" i="13" s="1"/>
  <c r="B525" i="13" s="1"/>
  <c r="B526" i="13" s="1"/>
  <c r="B527" i="13" s="1"/>
  <c r="B528" i="13" s="1"/>
  <c r="B529" i="13" s="1"/>
  <c r="B530" i="13" s="1"/>
  <c r="B531" i="13" s="1"/>
  <c r="B532" i="13" s="1"/>
  <c r="B533" i="13" s="1"/>
  <c r="B534" i="13" s="1"/>
  <c r="B535" i="13" s="1"/>
  <c r="B536" i="13" s="1"/>
  <c r="B537" i="13" s="1"/>
  <c r="B538" i="13" s="1"/>
  <c r="B539" i="13" s="1"/>
  <c r="B540" i="13" s="1"/>
  <c r="B541" i="13" s="1"/>
  <c r="B542" i="13" s="1"/>
  <c r="B543" i="13" s="1"/>
  <c r="B544" i="13" s="1"/>
  <c r="B545" i="13" s="1"/>
  <c r="B546" i="13" s="1"/>
  <c r="B547" i="13" s="1"/>
  <c r="B548" i="13" s="1"/>
  <c r="B549" i="13" s="1"/>
  <c r="B550" i="13" s="1"/>
  <c r="B551" i="13" s="1"/>
  <c r="B552" i="13" s="1"/>
  <c r="B553" i="13" s="1"/>
  <c r="B554" i="13" s="1"/>
  <c r="O513" i="13"/>
  <c r="J513" i="13"/>
  <c r="O512" i="13"/>
  <c r="J512" i="13"/>
  <c r="O511" i="13"/>
  <c r="J511" i="13"/>
  <c r="O510" i="13"/>
  <c r="J510" i="13"/>
  <c r="O509" i="13"/>
  <c r="J509" i="13"/>
  <c r="A509" i="13"/>
  <c r="O508" i="13"/>
  <c r="J508" i="13"/>
  <c r="A508" i="13"/>
  <c r="O507" i="13"/>
  <c r="J507" i="13"/>
  <c r="A507" i="13"/>
  <c r="O506" i="13"/>
  <c r="J506" i="13"/>
  <c r="A506" i="13"/>
  <c r="O505" i="13"/>
  <c r="J505" i="13"/>
  <c r="A505" i="13"/>
  <c r="O504" i="13"/>
  <c r="J504" i="13"/>
  <c r="A504" i="13"/>
  <c r="O503" i="13"/>
  <c r="J503" i="13"/>
  <c r="A503" i="13"/>
  <c r="O502" i="13"/>
  <c r="J502" i="13"/>
  <c r="A502" i="13"/>
  <c r="O501" i="13"/>
  <c r="J501" i="13"/>
  <c r="A501" i="13"/>
  <c r="O500" i="13"/>
  <c r="J500" i="13"/>
  <c r="A500" i="13"/>
  <c r="O499" i="13"/>
  <c r="J499" i="13"/>
  <c r="A499" i="13"/>
  <c r="O498" i="13"/>
  <c r="J498" i="13"/>
  <c r="A498" i="13"/>
  <c r="O497" i="13"/>
  <c r="J497" i="13"/>
  <c r="A497" i="13"/>
  <c r="O496" i="13"/>
  <c r="J496" i="13"/>
  <c r="A496" i="13"/>
  <c r="O495" i="13"/>
  <c r="J495" i="13"/>
  <c r="A495" i="13"/>
  <c r="O494" i="13"/>
  <c r="J494" i="13"/>
  <c r="A494" i="13"/>
  <c r="O493" i="13"/>
  <c r="J493" i="13"/>
  <c r="A493" i="13"/>
  <c r="O492" i="13"/>
  <c r="J492" i="13"/>
  <c r="A492" i="13"/>
  <c r="O491" i="13"/>
  <c r="J491" i="13"/>
  <c r="A491" i="13"/>
  <c r="O490" i="13"/>
  <c r="J490" i="13"/>
  <c r="A490" i="13"/>
  <c r="O489" i="13"/>
  <c r="J489" i="13"/>
  <c r="A489" i="13"/>
  <c r="O488" i="13"/>
  <c r="J488" i="13"/>
  <c r="A488" i="13"/>
  <c r="O487" i="13"/>
  <c r="J487" i="13"/>
  <c r="A487" i="13"/>
  <c r="O486" i="13"/>
  <c r="J486" i="13"/>
  <c r="A486" i="13"/>
  <c r="O485" i="13"/>
  <c r="J485" i="13"/>
  <c r="A485" i="13"/>
  <c r="O484" i="13"/>
  <c r="J484" i="13"/>
  <c r="A484" i="13"/>
  <c r="O483" i="13"/>
  <c r="J483" i="13"/>
  <c r="A483" i="13"/>
  <c r="O482" i="13"/>
  <c r="J482" i="13"/>
  <c r="A482" i="13"/>
  <c r="O481" i="13"/>
  <c r="J481" i="13"/>
  <c r="A481" i="13"/>
  <c r="O480" i="13"/>
  <c r="J480" i="13"/>
  <c r="B480" i="13"/>
  <c r="B481" i="13" s="1"/>
  <c r="B482" i="13" s="1"/>
  <c r="B483" i="13" s="1"/>
  <c r="B484" i="13" s="1"/>
  <c r="B485" i="13" s="1"/>
  <c r="B486" i="13" s="1"/>
  <c r="B487" i="13" s="1"/>
  <c r="B488" i="13" s="1"/>
  <c r="B489" i="13" s="1"/>
  <c r="B490" i="13" s="1"/>
  <c r="B491" i="13" s="1"/>
  <c r="B492" i="13" s="1"/>
  <c r="B493" i="13" s="1"/>
  <c r="B494" i="13" s="1"/>
  <c r="B495" i="13" s="1"/>
  <c r="B496" i="13" s="1"/>
  <c r="B497" i="13" s="1"/>
  <c r="B498" i="13" s="1"/>
  <c r="B499" i="13" s="1"/>
  <c r="B500" i="13" s="1"/>
  <c r="B501" i="13" s="1"/>
  <c r="B502" i="13" s="1"/>
  <c r="B503" i="13" s="1"/>
  <c r="B504" i="13" s="1"/>
  <c r="B505" i="13" s="1"/>
  <c r="B506" i="13" s="1"/>
  <c r="B507" i="13" s="1"/>
  <c r="B508" i="13" s="1"/>
  <c r="B509" i="13" s="1"/>
  <c r="B510" i="13" s="1"/>
  <c r="B511" i="13" s="1"/>
  <c r="B512" i="13" s="1"/>
  <c r="B513" i="13" s="1"/>
  <c r="A480" i="13"/>
  <c r="O479" i="13"/>
  <c r="J479" i="13"/>
  <c r="A479" i="13"/>
  <c r="O478" i="13"/>
  <c r="J478" i="13"/>
  <c r="A478" i="13"/>
  <c r="O477" i="13"/>
  <c r="J477" i="13"/>
  <c r="B477" i="13"/>
  <c r="B478" i="13" s="1"/>
  <c r="B479" i="13" s="1"/>
  <c r="A477" i="13"/>
  <c r="O476" i="13"/>
  <c r="J476" i="13"/>
  <c r="A476" i="13"/>
  <c r="A468" i="13"/>
  <c r="BW423" i="13"/>
  <c r="BV423" i="13"/>
  <c r="BU423" i="13"/>
  <c r="BT423" i="13"/>
  <c r="BS423" i="13"/>
  <c r="BW422" i="13"/>
  <c r="BV422" i="13"/>
  <c r="BU422" i="13"/>
  <c r="BT422" i="13"/>
  <c r="BS422" i="13"/>
  <c r="BW421" i="13"/>
  <c r="BV421" i="13"/>
  <c r="BU421" i="13"/>
  <c r="BT421" i="13"/>
  <c r="BS421" i="13"/>
  <c r="BW420" i="13"/>
  <c r="BV420" i="13"/>
  <c r="BU420" i="13"/>
  <c r="BT420" i="13"/>
  <c r="BS420" i="13"/>
  <c r="BW419" i="13"/>
  <c r="BV419" i="13"/>
  <c r="BU419" i="13"/>
  <c r="BT419" i="13"/>
  <c r="BS419" i="13"/>
  <c r="BW418" i="13"/>
  <c r="BV418" i="13"/>
  <c r="BU418" i="13"/>
  <c r="BT418" i="13"/>
  <c r="BS418" i="13"/>
  <c r="BW417" i="13"/>
  <c r="BV417" i="13"/>
  <c r="BU417" i="13"/>
  <c r="BT417" i="13"/>
  <c r="BS417" i="13"/>
  <c r="A417" i="13"/>
  <c r="BW416" i="13"/>
  <c r="BV416" i="13"/>
  <c r="BU416" i="13"/>
  <c r="BT416" i="13"/>
  <c r="BS416" i="13"/>
  <c r="A416" i="13"/>
  <c r="BW415" i="13"/>
  <c r="BV415" i="13"/>
  <c r="BU415" i="13"/>
  <c r="BT415" i="13"/>
  <c r="BS415" i="13"/>
  <c r="A415" i="13"/>
  <c r="BW414" i="13"/>
  <c r="BV414" i="13"/>
  <c r="BU414" i="13"/>
  <c r="BT414" i="13"/>
  <c r="BS414" i="13"/>
  <c r="A414" i="13"/>
  <c r="BW413" i="13"/>
  <c r="BV413" i="13"/>
  <c r="BU413" i="13"/>
  <c r="BT413" i="13"/>
  <c r="BS413" i="13"/>
  <c r="A413" i="13"/>
  <c r="BW412" i="13"/>
  <c r="BV412" i="13"/>
  <c r="BU412" i="13"/>
  <c r="BT412" i="13"/>
  <c r="BS412" i="13"/>
  <c r="A412" i="13"/>
  <c r="BW411" i="13"/>
  <c r="BV411" i="13"/>
  <c r="BU411" i="13"/>
  <c r="BT411" i="13"/>
  <c r="BS411" i="13"/>
  <c r="A411" i="13"/>
  <c r="BW410" i="13"/>
  <c r="BV410" i="13"/>
  <c r="BU410" i="13"/>
  <c r="BT410" i="13"/>
  <c r="BS410" i="13"/>
  <c r="A410" i="13"/>
  <c r="BW409" i="13"/>
  <c r="BV409" i="13"/>
  <c r="BU409" i="13"/>
  <c r="BT409" i="13"/>
  <c r="BS409" i="13"/>
  <c r="A409" i="13"/>
  <c r="BW408" i="13"/>
  <c r="BV408" i="13"/>
  <c r="BU408" i="13"/>
  <c r="BT408" i="13"/>
  <c r="BS408" i="13"/>
  <c r="A408" i="13"/>
  <c r="BW407" i="13"/>
  <c r="BV407" i="13"/>
  <c r="BU407" i="13"/>
  <c r="BT407" i="13"/>
  <c r="BS407" i="13"/>
  <c r="A407" i="13"/>
  <c r="BW406" i="13"/>
  <c r="BV406" i="13"/>
  <c r="BU406" i="13"/>
  <c r="BT406" i="13"/>
  <c r="BS406" i="13"/>
  <c r="A406" i="13"/>
  <c r="BW405" i="13"/>
  <c r="BV405" i="13"/>
  <c r="BU405" i="13"/>
  <c r="BT405" i="13"/>
  <c r="BS405" i="13"/>
  <c r="A405" i="13"/>
  <c r="BW404" i="13"/>
  <c r="BV404" i="13"/>
  <c r="BU404" i="13"/>
  <c r="BT404" i="13"/>
  <c r="BS404" i="13"/>
  <c r="A404" i="13"/>
  <c r="BW403" i="13"/>
  <c r="BV403" i="13"/>
  <c r="BU403" i="13"/>
  <c r="BT403" i="13"/>
  <c r="BS403" i="13"/>
  <c r="A403" i="13"/>
  <c r="BW402" i="13"/>
  <c r="BV402" i="13"/>
  <c r="BU402" i="13"/>
  <c r="BT402" i="13"/>
  <c r="BS402" i="13"/>
  <c r="A402" i="13"/>
  <c r="BW401" i="13"/>
  <c r="BV401" i="13"/>
  <c r="BU401" i="13"/>
  <c r="BT401" i="13"/>
  <c r="BS401" i="13"/>
  <c r="A401" i="13"/>
  <c r="BW400" i="13"/>
  <c r="BV400" i="13"/>
  <c r="BU400" i="13"/>
  <c r="BT400" i="13"/>
  <c r="BS400" i="13"/>
  <c r="A400" i="13"/>
  <c r="BW399" i="13"/>
  <c r="BV399" i="13"/>
  <c r="BU399" i="13"/>
  <c r="BT399" i="13"/>
  <c r="BS399" i="13"/>
  <c r="A399" i="13"/>
  <c r="BW398" i="13"/>
  <c r="BV398" i="13"/>
  <c r="BU398" i="13"/>
  <c r="BT398" i="13"/>
  <c r="BS398" i="13"/>
  <c r="A398" i="13"/>
  <c r="BW397" i="13"/>
  <c r="BV397" i="13"/>
  <c r="BU397" i="13"/>
  <c r="BT397" i="13"/>
  <c r="BS397" i="13"/>
  <c r="A397" i="13"/>
  <c r="BW396" i="13"/>
  <c r="BV396" i="13"/>
  <c r="BU396" i="13"/>
  <c r="BT396" i="13"/>
  <c r="BS396" i="13"/>
  <c r="A396" i="13"/>
  <c r="BW395" i="13"/>
  <c r="BV395" i="13"/>
  <c r="BU395" i="13"/>
  <c r="BT395" i="13"/>
  <c r="BS395" i="13"/>
  <c r="A395" i="13"/>
  <c r="BW394" i="13"/>
  <c r="BV394" i="13"/>
  <c r="BU394" i="13"/>
  <c r="BT394" i="13"/>
  <c r="BS394" i="13"/>
  <c r="A394" i="13"/>
  <c r="BW393" i="13"/>
  <c r="BV393" i="13"/>
  <c r="BU393" i="13"/>
  <c r="BT393" i="13"/>
  <c r="BS393" i="13"/>
  <c r="A393" i="13"/>
  <c r="BW392" i="13"/>
  <c r="BV392" i="13"/>
  <c r="BU392" i="13"/>
  <c r="BT392" i="13"/>
  <c r="BS392" i="13"/>
  <c r="A392" i="13"/>
  <c r="BW391" i="13"/>
  <c r="BV391" i="13"/>
  <c r="BU391" i="13"/>
  <c r="BT391" i="13"/>
  <c r="BS391" i="13"/>
  <c r="A391" i="13"/>
  <c r="BW390" i="13"/>
  <c r="BV390" i="13"/>
  <c r="BU390" i="13"/>
  <c r="BT390" i="13"/>
  <c r="BS390" i="13"/>
  <c r="A390" i="13"/>
  <c r="BW389" i="13"/>
  <c r="BV389" i="13"/>
  <c r="BU389" i="13"/>
  <c r="BT389" i="13"/>
  <c r="BS389" i="13"/>
  <c r="B389" i="13"/>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418" i="13" s="1"/>
  <c r="B419" i="13" s="1"/>
  <c r="B420" i="13" s="1"/>
  <c r="B421" i="13" s="1"/>
  <c r="B422" i="13" s="1"/>
  <c r="B423" i="13" s="1"/>
  <c r="B424" i="13" s="1"/>
  <c r="B425" i="13" s="1"/>
  <c r="B426" i="13" s="1"/>
  <c r="B427" i="13" s="1"/>
  <c r="B428" i="13" s="1"/>
  <c r="B429" i="13" s="1"/>
  <c r="B430" i="13" s="1"/>
  <c r="B431" i="13" s="1"/>
  <c r="B432" i="13" s="1"/>
  <c r="B433" i="13" s="1"/>
  <c r="B434" i="13" s="1"/>
  <c r="B435" i="13" s="1"/>
  <c r="B436" i="13" s="1"/>
  <c r="B437" i="13" s="1"/>
  <c r="B438" i="13" s="1"/>
  <c r="B439" i="13" s="1"/>
  <c r="B440" i="13" s="1"/>
  <c r="B441" i="13" s="1"/>
  <c r="B442" i="13" s="1"/>
  <c r="B443" i="13" s="1"/>
  <c r="B444" i="13" s="1"/>
  <c r="B445" i="13" s="1"/>
  <c r="B446" i="13" s="1"/>
  <c r="B447" i="13" s="1"/>
  <c r="B448" i="13" s="1"/>
  <c r="B449" i="13" s="1"/>
  <c r="B450" i="13" s="1"/>
  <c r="B451" i="13" s="1"/>
  <c r="B452" i="13" s="1"/>
  <c r="B453" i="13" s="1"/>
  <c r="B454" i="13" s="1"/>
  <c r="B455" i="13" s="1"/>
  <c r="B456" i="13" s="1"/>
  <c r="B457" i="13" s="1"/>
  <c r="B458" i="13" s="1"/>
  <c r="B459" i="13" s="1"/>
  <c r="B460" i="13" s="1"/>
  <c r="B461" i="13" s="1"/>
  <c r="A389" i="13"/>
  <c r="BW388" i="13"/>
  <c r="BV388" i="13"/>
  <c r="BU388" i="13"/>
  <c r="BT388" i="13"/>
  <c r="BS388" i="13"/>
  <c r="A388" i="13"/>
  <c r="BW387" i="13"/>
  <c r="BV387" i="13"/>
  <c r="BU387" i="13"/>
  <c r="BT387" i="13"/>
  <c r="BS387" i="13"/>
  <c r="A387" i="13"/>
  <c r="BW386" i="13"/>
  <c r="BV386" i="13"/>
  <c r="BU386" i="13"/>
  <c r="BT386" i="13"/>
  <c r="BS386" i="13"/>
  <c r="A386" i="13"/>
  <c r="BW385" i="13"/>
  <c r="BV385" i="13"/>
  <c r="BU385" i="13"/>
  <c r="BT385" i="13"/>
  <c r="BS385" i="13"/>
  <c r="B385" i="13"/>
  <c r="B386" i="13" s="1"/>
  <c r="B387" i="13" s="1"/>
  <c r="B388" i="13" s="1"/>
  <c r="A385" i="13"/>
  <c r="BW384" i="13"/>
  <c r="BV384" i="13"/>
  <c r="BU384" i="13"/>
  <c r="BT384" i="13"/>
  <c r="BS384" i="13"/>
  <c r="A384" i="13"/>
  <c r="B306" i="13"/>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01" i="13"/>
  <c r="B302" i="13" s="1"/>
  <c r="B303" i="13" s="1"/>
  <c r="B304" i="13" s="1"/>
  <c r="B305" i="13" s="1"/>
  <c r="B299" i="13"/>
  <c r="B300" i="13" s="1"/>
  <c r="B294" i="13"/>
  <c r="B295" i="13" s="1"/>
  <c r="B296" i="13" s="1"/>
  <c r="B297" i="13" s="1"/>
  <c r="B298" i="13" s="1"/>
  <c r="B293" i="13"/>
  <c r="B292" i="13"/>
  <c r="A276" i="13"/>
  <c r="B213" i="13"/>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192" i="13"/>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191" i="13"/>
  <c r="B190"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B99" i="13"/>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A99" i="13"/>
  <c r="B98" i="13"/>
  <c r="A98" i="13"/>
  <c r="A97" i="13"/>
  <c r="B13" i="13"/>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10" i="13"/>
  <c r="B11" i="13" s="1"/>
  <c r="B12" i="13" s="1"/>
  <c r="B9" i="13"/>
  <c r="G148" i="11"/>
  <c r="F148" i="11"/>
  <c r="G147" i="11"/>
  <c r="F147" i="11"/>
  <c r="G146" i="11"/>
  <c r="F146" i="11"/>
  <c r="G145" i="11"/>
  <c r="F145" i="11"/>
  <c r="G144" i="11"/>
  <c r="F144" i="11"/>
  <c r="G143" i="11"/>
  <c r="F143" i="11"/>
  <c r="G142" i="11"/>
  <c r="F142" i="11"/>
  <c r="G141" i="11"/>
  <c r="F141" i="11"/>
  <c r="G140" i="11"/>
  <c r="F140" i="11"/>
  <c r="G139" i="11"/>
  <c r="F139" i="11"/>
  <c r="G138" i="11"/>
  <c r="F138" i="11"/>
  <c r="G137" i="11"/>
  <c r="F137" i="11"/>
  <c r="G136" i="11"/>
  <c r="F136" i="11"/>
  <c r="G135" i="11"/>
  <c r="F135" i="11"/>
  <c r="G134" i="11"/>
  <c r="F134" i="11"/>
  <c r="G133" i="11"/>
  <c r="G132" i="11"/>
  <c r="F132" i="11"/>
  <c r="G131" i="11"/>
  <c r="G130" i="11"/>
  <c r="F130" i="11"/>
  <c r="D130" i="11"/>
  <c r="D131" i="11" s="1"/>
  <c r="D132" i="11" s="1"/>
  <c r="D133" i="11" s="1"/>
  <c r="D134" i="11" s="1"/>
  <c r="D135" i="11" s="1"/>
  <c r="D136" i="11" s="1"/>
  <c r="D137" i="11" s="1"/>
  <c r="D138" i="11" s="1"/>
  <c r="D139" i="11" s="1"/>
  <c r="D140" i="11" s="1"/>
  <c r="D141" i="11" s="1"/>
  <c r="D142" i="11" s="1"/>
  <c r="D143" i="11" s="1"/>
  <c r="D144" i="11" s="1"/>
  <c r="D145" i="11" s="1"/>
  <c r="D146" i="11" s="1"/>
  <c r="D147" i="11" s="1"/>
  <c r="D148" i="11" s="1"/>
  <c r="G129" i="11"/>
  <c r="F129" i="11"/>
  <c r="G128" i="11"/>
  <c r="S122" i="11"/>
  <c r="R122" i="11"/>
  <c r="G122" i="11"/>
  <c r="F122" i="11"/>
  <c r="S121" i="11"/>
  <c r="R121" i="11"/>
  <c r="G121" i="11"/>
  <c r="F121" i="11"/>
  <c r="S120" i="11"/>
  <c r="R120" i="11"/>
  <c r="G120" i="11"/>
  <c r="F120" i="11"/>
  <c r="S119" i="11"/>
  <c r="R119" i="11"/>
  <c r="G119" i="11"/>
  <c r="F119" i="11"/>
  <c r="S118" i="11"/>
  <c r="R118" i="11"/>
  <c r="G118" i="11"/>
  <c r="F118" i="11"/>
  <c r="S117" i="11"/>
  <c r="R117" i="11"/>
  <c r="G117" i="11"/>
  <c r="F117" i="11"/>
  <c r="S116" i="11"/>
  <c r="R116" i="11"/>
  <c r="G116" i="11"/>
  <c r="F116" i="11"/>
  <c r="S115" i="11"/>
  <c r="R115" i="11"/>
  <c r="G115" i="11"/>
  <c r="F115" i="11"/>
  <c r="S114" i="11"/>
  <c r="R114" i="11"/>
  <c r="G114" i="11"/>
  <c r="F114" i="11"/>
  <c r="S113" i="11"/>
  <c r="R113" i="11"/>
  <c r="G113" i="11"/>
  <c r="F113" i="11"/>
  <c r="S112" i="11"/>
  <c r="R112" i="11"/>
  <c r="G112" i="11"/>
  <c r="F112" i="11"/>
  <c r="S111" i="11"/>
  <c r="R111" i="11"/>
  <c r="G111" i="11"/>
  <c r="F111" i="11"/>
  <c r="S110" i="11"/>
  <c r="R110" i="11"/>
  <c r="G110" i="11"/>
  <c r="F110" i="11"/>
  <c r="S109" i="11"/>
  <c r="R109" i="11"/>
  <c r="G109" i="11"/>
  <c r="F109" i="11"/>
  <c r="S108" i="11"/>
  <c r="R108" i="11"/>
  <c r="G108" i="11"/>
  <c r="F108" i="11"/>
  <c r="S107" i="11"/>
  <c r="R107" i="11"/>
  <c r="G107" i="11"/>
  <c r="F107" i="11"/>
  <c r="S106" i="11"/>
  <c r="R106" i="11"/>
  <c r="G106" i="11"/>
  <c r="F106" i="11"/>
  <c r="S105" i="11"/>
  <c r="R105" i="11"/>
  <c r="G105" i="11"/>
  <c r="F105" i="11"/>
  <c r="G104" i="11"/>
  <c r="J87" i="11"/>
  <c r="I87" i="11"/>
  <c r="G87" i="11"/>
  <c r="F87" i="11"/>
  <c r="J86" i="11"/>
  <c r="I86" i="11"/>
  <c r="G86" i="11"/>
  <c r="F86" i="11"/>
  <c r="J85" i="11"/>
  <c r="I85" i="11"/>
  <c r="G85" i="11"/>
  <c r="F85" i="11"/>
  <c r="J84" i="11"/>
  <c r="I84" i="11"/>
  <c r="G84" i="11"/>
  <c r="F84" i="11"/>
  <c r="J83" i="11"/>
  <c r="I83" i="11"/>
  <c r="G83" i="11"/>
  <c r="F83" i="11"/>
  <c r="J82" i="11"/>
  <c r="I82" i="11"/>
  <c r="G82" i="11"/>
  <c r="F82" i="11"/>
  <c r="J81" i="11"/>
  <c r="I81" i="11"/>
  <c r="G81" i="11"/>
  <c r="F81" i="11"/>
  <c r="J80" i="11"/>
  <c r="I80" i="11"/>
  <c r="G80" i="11"/>
  <c r="F80" i="11"/>
  <c r="J79" i="11"/>
  <c r="I79" i="11"/>
  <c r="G79" i="11"/>
  <c r="F79" i="11"/>
  <c r="J78" i="11"/>
  <c r="I78" i="11"/>
  <c r="G78" i="11"/>
  <c r="F78" i="11"/>
  <c r="J77" i="11"/>
  <c r="I77" i="11"/>
  <c r="G77" i="11"/>
  <c r="F77" i="11"/>
  <c r="J76" i="11"/>
  <c r="I76" i="11"/>
  <c r="G76" i="11"/>
  <c r="F76" i="11"/>
  <c r="J75" i="11"/>
  <c r="I75" i="11"/>
  <c r="G75" i="11"/>
  <c r="F75" i="11"/>
  <c r="G74" i="11"/>
  <c r="G57" i="11"/>
  <c r="F57" i="11"/>
  <c r="G56" i="11"/>
  <c r="F56" i="11"/>
  <c r="G55" i="11"/>
  <c r="F55" i="11"/>
  <c r="G54" i="11"/>
  <c r="F54" i="11"/>
  <c r="G53" i="11"/>
  <c r="F53" i="11"/>
  <c r="G52" i="11"/>
  <c r="F52" i="11"/>
  <c r="G51" i="11"/>
  <c r="F51" i="11"/>
  <c r="G50" i="11"/>
  <c r="F50" i="11"/>
  <c r="G49" i="11"/>
  <c r="F49" i="11"/>
  <c r="G48" i="11"/>
  <c r="F48" i="11"/>
  <c r="G47" i="11"/>
  <c r="F47" i="11"/>
  <c r="G46" i="11"/>
  <c r="F46" i="11"/>
  <c r="G45" i="11"/>
  <c r="F45" i="11"/>
  <c r="G44" i="11"/>
  <c r="F44" i="11"/>
  <c r="G43" i="11"/>
  <c r="F43" i="11"/>
  <c r="G42" i="11"/>
  <c r="F42" i="11"/>
  <c r="G41" i="11"/>
  <c r="F41" i="11"/>
  <c r="G40" i="11"/>
  <c r="F40" i="11"/>
  <c r="G39" i="11"/>
  <c r="F39" i="11"/>
  <c r="G38" i="11"/>
  <c r="F38" i="11"/>
  <c r="G37" i="11"/>
  <c r="F37" i="11"/>
  <c r="G36" i="11"/>
  <c r="F36" i="11"/>
  <c r="G35" i="11"/>
  <c r="F35" i="11"/>
  <c r="G34" i="11"/>
  <c r="F34" i="11"/>
  <c r="G33" i="11"/>
  <c r="F33" i="11"/>
  <c r="G32" i="11"/>
  <c r="F32" i="11"/>
  <c r="G31" i="11"/>
  <c r="F31" i="11"/>
  <c r="G30" i="11"/>
  <c r="F30" i="11"/>
  <c r="G29" i="11"/>
  <c r="F29" i="11"/>
  <c r="G28" i="11"/>
  <c r="F28" i="11"/>
  <c r="G27" i="11"/>
  <c r="F27" i="11"/>
  <c r="G26" i="11"/>
  <c r="F26" i="11"/>
  <c r="G25" i="11"/>
  <c r="F25" i="11"/>
  <c r="G24" i="11"/>
  <c r="F24" i="11"/>
  <c r="G19" i="11"/>
  <c r="F19" i="11"/>
  <c r="D18" i="11"/>
  <c r="D19" i="11" s="1"/>
  <c r="D20" i="11" s="1"/>
  <c r="D21" i="11" s="1"/>
  <c r="D22" i="11" s="1"/>
  <c r="D23" i="11" s="1"/>
  <c r="D24" i="11" s="1"/>
  <c r="D25" i="11" s="1"/>
  <c r="D26" i="11" s="1"/>
  <c r="D27" i="11" s="1"/>
  <c r="D28" i="11" s="1"/>
  <c r="D29" i="11" s="1"/>
  <c r="D30" i="11" s="1"/>
  <c r="D31" i="11" s="1"/>
  <c r="D32" i="11" s="1"/>
  <c r="D33" i="11" s="1"/>
  <c r="D34" i="11" s="1"/>
  <c r="D35" i="11" s="1"/>
  <c r="D36" i="11" s="1"/>
  <c r="D37" i="11" s="1"/>
  <c r="D38" i="11" s="1"/>
  <c r="D39" i="11" s="1"/>
  <c r="D40" i="11" s="1"/>
  <c r="D41" i="11" s="1"/>
  <c r="D42" i="11" s="1"/>
  <c r="D43" i="11" s="1"/>
  <c r="D44" i="11" s="1"/>
  <c r="D45" i="11" s="1"/>
  <c r="D46" i="11" s="1"/>
  <c r="D47" i="11" s="1"/>
  <c r="D48" i="11" s="1"/>
  <c r="D49" i="11" s="1"/>
  <c r="D50" i="11" s="1"/>
  <c r="D51" i="11" s="1"/>
  <c r="D52" i="11" s="1"/>
  <c r="D53" i="11" s="1"/>
  <c r="D54" i="11" s="1"/>
  <c r="D55" i="11" s="1"/>
  <c r="D56" i="11" s="1"/>
  <c r="D57" i="11" s="1"/>
  <c r="D58" i="11" s="1"/>
  <c r="D59" i="11" s="1"/>
  <c r="D60" i="11" s="1"/>
  <c r="D61" i="11" s="1"/>
  <c r="D62" i="11" s="1"/>
  <c r="G17" i="11"/>
  <c r="J13" i="11"/>
  <c r="G13" i="11"/>
  <c r="J12" i="11"/>
  <c r="G12" i="11"/>
  <c r="G11" i="11"/>
  <c r="C96" i="10"/>
  <c r="J82" i="10"/>
  <c r="J78" i="10"/>
  <c r="J75" i="10"/>
  <c r="J74" i="10"/>
  <c r="J69" i="10"/>
  <c r="J63" i="10"/>
  <c r="J59" i="10"/>
  <c r="J58" i="10"/>
  <c r="J54" i="10"/>
  <c r="C51" i="10"/>
  <c r="C54" i="10" s="1"/>
  <c r="C55" i="10" s="1"/>
  <c r="C58" i="10" s="1"/>
  <c r="C59" i="10" s="1"/>
  <c r="J50" i="10"/>
  <c r="D50" i="10"/>
  <c r="C50" i="10"/>
  <c r="C42" i="10"/>
  <c r="C43" i="10" s="1"/>
  <c r="J30" i="10"/>
  <c r="D27" i="10"/>
  <c r="D26" i="10"/>
  <c r="J21" i="10"/>
  <c r="D18" i="10"/>
  <c r="D17" i="10"/>
  <c r="J12" i="10"/>
  <c r="D9" i="10"/>
  <c r="D8" i="10"/>
  <c r="M90" i="9"/>
  <c r="J90" i="9"/>
  <c r="M86" i="9"/>
  <c r="J86" i="9"/>
  <c r="M83" i="9"/>
  <c r="J83" i="9"/>
  <c r="M82" i="9"/>
  <c r="J82" i="9"/>
  <c r="C78" i="9"/>
  <c r="C79" i="9" s="1"/>
  <c r="C81" i="9" s="1"/>
  <c r="C82" i="9" s="1"/>
  <c r="C83" i="9" s="1"/>
  <c r="C84" i="9" s="1"/>
  <c r="C86" i="9" s="1"/>
  <c r="C87" i="9" s="1"/>
  <c r="C90" i="9" s="1"/>
  <c r="C93" i="9" s="1"/>
  <c r="C94" i="9" s="1"/>
  <c r="C98" i="9" s="1"/>
  <c r="C99" i="9" s="1"/>
  <c r="M77" i="9"/>
  <c r="J77" i="9"/>
  <c r="C71" i="9"/>
  <c r="C72" i="9" s="1"/>
  <c r="C73" i="9" s="1"/>
  <c r="C76" i="9" s="1"/>
  <c r="C77" i="9" s="1"/>
  <c r="M67" i="9"/>
  <c r="J67" i="9"/>
  <c r="M66" i="9"/>
  <c r="J66" i="9"/>
  <c r="C63" i="9"/>
  <c r="C66" i="9" s="1"/>
  <c r="C67" i="9" s="1"/>
  <c r="C68" i="9" s="1"/>
  <c r="M62" i="9"/>
  <c r="J62" i="9"/>
  <c r="C59" i="9"/>
  <c r="C62" i="9" s="1"/>
  <c r="M58" i="9"/>
  <c r="J58" i="9"/>
  <c r="D58" i="9"/>
  <c r="C58" i="9"/>
  <c r="C50" i="9"/>
  <c r="C51" i="9" s="1"/>
  <c r="J30" i="9"/>
  <c r="M30" i="9" s="1"/>
  <c r="D27" i="9"/>
  <c r="D26" i="9"/>
  <c r="J21" i="9"/>
  <c r="M21" i="9" s="1"/>
  <c r="D18" i="9"/>
  <c r="D17" i="9"/>
  <c r="J12" i="9"/>
  <c r="M12" i="9" s="1"/>
  <c r="D9" i="9"/>
  <c r="D8" i="9"/>
  <c r="AL58" i="8"/>
  <c r="AK58" i="8"/>
  <c r="AE58" i="8"/>
  <c r="AC58" i="8"/>
  <c r="AA58" i="8"/>
  <c r="S58" i="8"/>
  <c r="M58" i="8"/>
  <c r="AR30" i="8"/>
  <c r="AN30" i="8"/>
  <c r="AM30" i="8"/>
  <c r="AK30" i="8"/>
  <c r="AE30" i="8"/>
  <c r="AD30" i="8"/>
  <c r="AA30" i="8"/>
  <c r="Y30" i="8"/>
  <c r="W30" i="8"/>
  <c r="T30" i="8"/>
  <c r="AB28" i="8"/>
  <c r="AB27" i="8" s="1"/>
  <c r="AA27" i="8"/>
  <c r="J27" i="8"/>
  <c r="I13" i="11" s="1"/>
  <c r="I27" i="8"/>
  <c r="I12" i="11" s="1"/>
  <c r="AB25" i="8"/>
  <c r="Y25" i="8"/>
  <c r="AA21" i="8"/>
  <c r="AL20" i="8"/>
  <c r="AA20" i="8"/>
  <c r="AR19" i="8"/>
  <c r="AQ19" i="8"/>
  <c r="AP19" i="8"/>
  <c r="AO19" i="8"/>
  <c r="AN19" i="8"/>
  <c r="AM19" i="8"/>
  <c r="AL19" i="8"/>
  <c r="AK19" i="8"/>
  <c r="AJ19" i="8"/>
  <c r="AI19" i="8"/>
  <c r="AH19" i="8"/>
  <c r="AG19" i="8"/>
  <c r="AF19" i="8"/>
  <c r="AE19" i="8"/>
  <c r="AD19" i="8"/>
  <c r="AC19" i="8"/>
  <c r="AB19" i="8"/>
  <c r="AA19" i="8"/>
  <c r="Z19" i="8"/>
  <c r="Y19" i="8"/>
  <c r="X19" i="8"/>
  <c r="W19" i="8"/>
  <c r="V19" i="8"/>
  <c r="U19" i="8"/>
  <c r="T19" i="8"/>
  <c r="S19" i="8"/>
  <c r="R19" i="8"/>
  <c r="Q19" i="8"/>
  <c r="P19" i="8"/>
  <c r="O19" i="8"/>
  <c r="N19" i="8"/>
  <c r="M19" i="8"/>
  <c r="L19" i="8"/>
  <c r="K19" i="8"/>
  <c r="J19" i="8"/>
  <c r="I19" i="8"/>
  <c r="AD8" i="8"/>
  <c r="AB8" i="8"/>
  <c r="Y8" i="8"/>
  <c r="AR7" i="8"/>
  <c r="AR8" i="8" s="1"/>
  <c r="AQ7" i="8"/>
  <c r="AI7" i="8"/>
  <c r="AD7" i="8"/>
  <c r="AC7" i="8"/>
  <c r="AB7" i="8"/>
  <c r="AA7" i="8"/>
  <c r="Z7" i="8"/>
  <c r="Y7" i="8"/>
  <c r="R7" i="8"/>
  <c r="Q7" i="8"/>
  <c r="AL5" i="8"/>
  <c r="AE5" i="8"/>
  <c r="AD5" i="8"/>
  <c r="AB5" i="8"/>
  <c r="AA5" i="8"/>
  <c r="AA28" i="8" s="1"/>
  <c r="Y5" i="8"/>
  <c r="T5" i="8"/>
  <c r="Q5" i="8"/>
  <c r="AR3" i="8"/>
  <c r="AQ3" i="8"/>
  <c r="AP3" i="8"/>
  <c r="AO3" i="8"/>
  <c r="AN3" i="8"/>
  <c r="AM3" i="8"/>
  <c r="AL3" i="8"/>
  <c r="AK3" i="8"/>
  <c r="AI3" i="8"/>
  <c r="AE3" i="8"/>
  <c r="AD3" i="8"/>
  <c r="AD58" i="8" s="1"/>
  <c r="AC3" i="8"/>
  <c r="AB3" i="8"/>
  <c r="AA3" i="8"/>
  <c r="Z3" i="8"/>
  <c r="Y3" i="8"/>
  <c r="Y58" i="8" s="1"/>
  <c r="X3" i="8"/>
  <c r="W3" i="8"/>
  <c r="V3" i="8"/>
  <c r="U3" i="8"/>
  <c r="T3" i="8"/>
  <c r="S3" i="8"/>
  <c r="S7" i="8" s="1"/>
  <c r="R3" i="8"/>
  <c r="Q3" i="8"/>
  <c r="P3" i="8"/>
  <c r="O3" i="8"/>
  <c r="M3" i="8"/>
  <c r="K3" i="8"/>
  <c r="J3" i="8"/>
  <c r="I3" i="8" a="1"/>
  <c r="F404" i="7"/>
  <c r="F403" i="7"/>
  <c r="F402" i="7"/>
  <c r="F398" i="7"/>
  <c r="C398" i="7"/>
  <c r="C399" i="7" s="1"/>
  <c r="C400" i="7" s="1"/>
  <c r="C401" i="7" s="1"/>
  <c r="C402" i="7" s="1"/>
  <c r="C403" i="7" s="1"/>
  <c r="C404" i="7" s="1"/>
  <c r="G393" i="7"/>
  <c r="F393" i="7"/>
  <c r="E393" i="7"/>
  <c r="G392" i="7"/>
  <c r="F392" i="7"/>
  <c r="E392" i="7"/>
  <c r="G391" i="7"/>
  <c r="F391" i="7"/>
  <c r="E391" i="7"/>
  <c r="G390" i="7"/>
  <c r="F390" i="7"/>
  <c r="E390" i="7"/>
  <c r="G389" i="7"/>
  <c r="F389" i="7"/>
  <c r="E389" i="7"/>
  <c r="G388" i="7"/>
  <c r="F388" i="7"/>
  <c r="E388" i="7"/>
  <c r="G387" i="7"/>
  <c r="F387" i="7"/>
  <c r="E387" i="7"/>
  <c r="C387" i="7"/>
  <c r="C388" i="7" s="1"/>
  <c r="C389" i="7" s="1"/>
  <c r="C390" i="7" s="1"/>
  <c r="C391" i="7" s="1"/>
  <c r="C392" i="7" s="1"/>
  <c r="C393" i="7" s="1"/>
  <c r="G386" i="7"/>
  <c r="F386" i="7"/>
  <c r="E386" i="7"/>
  <c r="G385" i="7"/>
  <c r="E379" i="7"/>
  <c r="F401" i="7" s="1"/>
  <c r="E378" i="7"/>
  <c r="F400" i="7" s="1"/>
  <c r="E377" i="7"/>
  <c r="F399" i="7" s="1"/>
  <c r="C377" i="7"/>
  <c r="C378" i="7" s="1"/>
  <c r="C379" i="7" s="1"/>
  <c r="C380" i="7" s="1"/>
  <c r="C381" i="7" s="1"/>
  <c r="C382" i="7" s="1"/>
  <c r="E376" i="7"/>
  <c r="C376" i="7"/>
  <c r="E375" i="7"/>
  <c r="F397" i="7" s="1"/>
  <c r="C353" i="7"/>
  <c r="C354" i="7" s="1"/>
  <c r="C355" i="7" s="1"/>
  <c r="C356" i="7" s="1"/>
  <c r="C357" i="7" s="1"/>
  <c r="C358" i="7" s="1"/>
  <c r="C359" i="7" s="1"/>
  <c r="C361" i="7" s="1"/>
  <c r="C362" i="7" s="1"/>
  <c r="C363" i="7" s="1"/>
  <c r="E350" i="7"/>
  <c r="K347" i="7"/>
  <c r="L347" i="7" s="1"/>
  <c r="K346" i="7"/>
  <c r="L346" i="7" s="1"/>
  <c r="K345" i="7"/>
  <c r="L345" i="7" s="1"/>
  <c r="K344" i="7"/>
  <c r="L344" i="7" s="1"/>
  <c r="K343" i="7"/>
  <c r="L343" i="7" s="1"/>
  <c r="E343" i="7"/>
  <c r="E344" i="7" s="1"/>
  <c r="E345" i="7" s="1"/>
  <c r="E346" i="7" s="1"/>
  <c r="E347" i="7" s="1"/>
  <c r="D343" i="7"/>
  <c r="D344" i="7" s="1"/>
  <c r="D345" i="7" s="1"/>
  <c r="D346" i="7" s="1"/>
  <c r="D347" i="7" s="1"/>
  <c r="K342" i="7"/>
  <c r="L342" i="7" s="1"/>
  <c r="K341" i="7"/>
  <c r="K340" i="7"/>
  <c r="M339" i="7"/>
  <c r="K339" i="7"/>
  <c r="L339" i="7" s="1"/>
  <c r="M338" i="7"/>
  <c r="K338" i="7"/>
  <c r="L338" i="7" s="1"/>
  <c r="M337" i="7"/>
  <c r="K337" i="7"/>
  <c r="L337" i="7" s="1"/>
  <c r="O337" i="7" s="1"/>
  <c r="M336" i="7"/>
  <c r="O336" i="7" s="1"/>
  <c r="K336" i="7"/>
  <c r="L336" i="7" s="1"/>
  <c r="M335" i="7"/>
  <c r="K335" i="7"/>
  <c r="L335" i="7" s="1"/>
  <c r="M334" i="7"/>
  <c r="N334" i="7" s="1"/>
  <c r="K334" i="7"/>
  <c r="L334" i="7" s="1"/>
  <c r="M333" i="7"/>
  <c r="K333" i="7"/>
  <c r="L333" i="7" s="1"/>
  <c r="O333" i="7" s="1"/>
  <c r="M332" i="7"/>
  <c r="O332" i="7" s="1"/>
  <c r="K332" i="7"/>
  <c r="L332" i="7" s="1"/>
  <c r="K331" i="7"/>
  <c r="L331" i="7" s="1"/>
  <c r="E331" i="7"/>
  <c r="E332" i="7" s="1"/>
  <c r="E333" i="7" s="1"/>
  <c r="E334" i="7" s="1"/>
  <c r="E335" i="7" s="1"/>
  <c r="E336" i="7" s="1"/>
  <c r="E337" i="7" s="1"/>
  <c r="E338" i="7" s="1"/>
  <c r="E339" i="7" s="1"/>
  <c r="E340" i="7" s="1"/>
  <c r="E341" i="7" s="1"/>
  <c r="D331" i="7"/>
  <c r="D332" i="7" s="1"/>
  <c r="D333" i="7" s="1"/>
  <c r="D334" i="7" s="1"/>
  <c r="D335" i="7" s="1"/>
  <c r="D336" i="7" s="1"/>
  <c r="D337" i="7" s="1"/>
  <c r="D338" i="7" s="1"/>
  <c r="D339" i="7" s="1"/>
  <c r="D340" i="7" s="1"/>
  <c r="D341" i="7" s="1"/>
  <c r="M330" i="7"/>
  <c r="K330" i="7"/>
  <c r="L330" i="7" s="1"/>
  <c r="O328" i="7"/>
  <c r="K328" i="7"/>
  <c r="M327" i="7"/>
  <c r="K327" i="7"/>
  <c r="L327" i="7" s="1"/>
  <c r="N327" i="7" s="1"/>
  <c r="M326" i="7"/>
  <c r="K326" i="7"/>
  <c r="L326" i="7" s="1"/>
  <c r="M325" i="7"/>
  <c r="K325" i="7"/>
  <c r="L325" i="7" s="1"/>
  <c r="M324" i="7"/>
  <c r="L324" i="7"/>
  <c r="M323" i="7"/>
  <c r="K323" i="7"/>
  <c r="L323" i="7" s="1"/>
  <c r="M322" i="7"/>
  <c r="K322" i="7"/>
  <c r="L322" i="7" s="1"/>
  <c r="M321" i="7"/>
  <c r="K321" i="7"/>
  <c r="L321" i="7" s="1"/>
  <c r="O321" i="7" s="1"/>
  <c r="P320" i="7"/>
  <c r="P321" i="7" s="1"/>
  <c r="P322" i="7" s="1"/>
  <c r="P323" i="7" s="1"/>
  <c r="P324" i="7" s="1"/>
  <c r="P325" i="7" s="1"/>
  <c r="P326" i="7" s="1"/>
  <c r="P327" i="7" s="1"/>
  <c r="P330" i="7" s="1"/>
  <c r="P331" i="7" s="1"/>
  <c r="P332" i="7" s="1"/>
  <c r="P333" i="7" s="1"/>
  <c r="P334" i="7" s="1"/>
  <c r="P335" i="7" s="1"/>
  <c r="P336" i="7" s="1"/>
  <c r="P337" i="7" s="1"/>
  <c r="P338" i="7" s="1"/>
  <c r="P339" i="7" s="1"/>
  <c r="M320" i="7"/>
  <c r="O320" i="7" s="1"/>
  <c r="K320" i="7"/>
  <c r="L320" i="7" s="1"/>
  <c r="I320" i="7"/>
  <c r="I321" i="7" s="1"/>
  <c r="I322" i="7" s="1"/>
  <c r="I323" i="7" s="1"/>
  <c r="I324" i="7" s="1"/>
  <c r="I325" i="7" s="1"/>
  <c r="I326" i="7" s="1"/>
  <c r="I327" i="7" s="1"/>
  <c r="H320" i="7"/>
  <c r="H321" i="7" s="1"/>
  <c r="H322" i="7" s="1"/>
  <c r="H323" i="7" s="1"/>
  <c r="H324" i="7" s="1"/>
  <c r="H325" i="7" s="1"/>
  <c r="H326" i="7" s="1"/>
  <c r="H327" i="7" s="1"/>
  <c r="E320" i="7"/>
  <c r="E321" i="7" s="1"/>
  <c r="E322" i="7" s="1"/>
  <c r="E323" i="7" s="1"/>
  <c r="E324" i="7" s="1"/>
  <c r="E325" i="7" s="1"/>
  <c r="E326" i="7" s="1"/>
  <c r="E327" i="7" s="1"/>
  <c r="E328" i="7" s="1"/>
  <c r="D320" i="7"/>
  <c r="D321" i="7" s="1"/>
  <c r="D322" i="7" s="1"/>
  <c r="D323" i="7" s="1"/>
  <c r="D324" i="7" s="1"/>
  <c r="D325" i="7" s="1"/>
  <c r="D326" i="7" s="1"/>
  <c r="D327" i="7" s="1"/>
  <c r="D328" i="7" s="1"/>
  <c r="C320" i="7"/>
  <c r="C321" i="7" s="1"/>
  <c r="C322" i="7" s="1"/>
  <c r="C323" i="7" s="1"/>
  <c r="C324" i="7" s="1"/>
  <c r="C325" i="7" s="1"/>
  <c r="C326" i="7" s="1"/>
  <c r="C327" i="7" s="1"/>
  <c r="C328" i="7" s="1"/>
  <c r="C330" i="7" s="1"/>
  <c r="C331" i="7" s="1"/>
  <c r="C332" i="7" s="1"/>
  <c r="C333" i="7" s="1"/>
  <c r="C334" i="7" s="1"/>
  <c r="C335" i="7" s="1"/>
  <c r="C336" i="7" s="1"/>
  <c r="C337" i="7" s="1"/>
  <c r="C338" i="7" s="1"/>
  <c r="C339" i="7" s="1"/>
  <c r="C340" i="7" s="1"/>
  <c r="C341" i="7" s="1"/>
  <c r="C342" i="7" s="1"/>
  <c r="C343" i="7" s="1"/>
  <c r="C344" i="7" s="1"/>
  <c r="C345" i="7" s="1"/>
  <c r="C346" i="7" s="1"/>
  <c r="C347" i="7" s="1"/>
  <c r="M319" i="7"/>
  <c r="L319" i="7"/>
  <c r="O319" i="7" s="1"/>
  <c r="K319" i="7"/>
  <c r="B295" i="7"/>
  <c r="E288" i="7"/>
  <c r="B288" i="7" s="1"/>
  <c r="F282" i="7"/>
  <c r="E282" i="7"/>
  <c r="H275" i="7"/>
  <c r="F275" i="7"/>
  <c r="H274" i="7"/>
  <c r="F274" i="7"/>
  <c r="E274" i="7"/>
  <c r="B274" i="7"/>
  <c r="I272" i="7"/>
  <c r="H272" i="7"/>
  <c r="C262" i="7"/>
  <c r="C263" i="7" s="1"/>
  <c r="C264" i="7" s="1"/>
  <c r="C265" i="7" s="1"/>
  <c r="C266" i="7" s="1"/>
  <c r="C267" i="7" s="1"/>
  <c r="C268" i="7" s="1"/>
  <c r="C269" i="7" s="1"/>
  <c r="C270" i="7" s="1"/>
  <c r="C271" i="7" s="1"/>
  <c r="C272" i="7" s="1"/>
  <c r="C273" i="7" s="1"/>
  <c r="C274" i="7" s="1"/>
  <c r="C275" i="7" s="1"/>
  <c r="C276" i="7" s="1"/>
  <c r="C277" i="7" s="1"/>
  <c r="C278" i="7" s="1"/>
  <c r="C279" i="7" s="1"/>
  <c r="C280" i="7" s="1"/>
  <c r="C281" i="7" s="1"/>
  <c r="C282" i="7" s="1"/>
  <c r="C283" i="7" s="1"/>
  <c r="C284" i="7" s="1"/>
  <c r="C285" i="7" s="1"/>
  <c r="C286" i="7" s="1"/>
  <c r="C287" i="7" s="1"/>
  <c r="C288" i="7" s="1"/>
  <c r="C289" i="7" s="1"/>
  <c r="C290" i="7" s="1"/>
  <c r="C291" i="7" s="1"/>
  <c r="C292" i="7" s="1"/>
  <c r="C293" i="7" s="1"/>
  <c r="C294" i="7" s="1"/>
  <c r="D294" i="7"/>
  <c r="D293" i="7"/>
  <c r="D288" i="7"/>
  <c r="F288" i="7" s="1"/>
  <c r="D282" i="7"/>
  <c r="D281" i="7"/>
  <c r="D280" i="7"/>
  <c r="D279" i="7"/>
  <c r="D278" i="7"/>
  <c r="I278" i="7" s="1"/>
  <c r="D277" i="7"/>
  <c r="D275" i="7"/>
  <c r="D274" i="7"/>
  <c r="D273" i="7"/>
  <c r="F273" i="7" s="1"/>
  <c r="D272" i="7"/>
  <c r="D271" i="7"/>
  <c r="L271" i="7" s="1"/>
  <c r="D270" i="7"/>
  <c r="I270" i="7" s="1"/>
  <c r="D269" i="7"/>
  <c r="H269" i="7" s="1"/>
  <c r="D267" i="7"/>
  <c r="L267" i="7" s="1"/>
  <c r="D266" i="7"/>
  <c r="F266" i="7" s="1"/>
  <c r="D265" i="7"/>
  <c r="D261" i="7" a="1"/>
  <c r="D292" i="7" s="1"/>
  <c r="H259" i="7"/>
  <c r="F246" i="7"/>
  <c r="E246" i="7"/>
  <c r="E227" i="7"/>
  <c r="E226" i="7"/>
  <c r="F224" i="7"/>
  <c r="E224" i="7"/>
  <c r="F221" i="7"/>
  <c r="F220" i="7"/>
  <c r="F219" i="7"/>
  <c r="C196" i="7"/>
  <c r="C197" i="7" s="1"/>
  <c r="C198" i="7" s="1"/>
  <c r="C199" i="7" s="1"/>
  <c r="C200" i="7" s="1"/>
  <c r="C201" i="7" s="1"/>
  <c r="C202" i="7" s="1"/>
  <c r="C203" i="7" s="1"/>
  <c r="C204" i="7" s="1"/>
  <c r="C205" i="7" s="1"/>
  <c r="C206" i="7" s="1"/>
  <c r="C207" i="7" s="1"/>
  <c r="J189" i="7"/>
  <c r="J188" i="7"/>
  <c r="C174" i="7"/>
  <c r="C175" i="7" s="1"/>
  <c r="C176" i="7" s="1"/>
  <c r="C177" i="7" s="1"/>
  <c r="C178" i="7" s="1"/>
  <c r="C179" i="7" s="1"/>
  <c r="C180" i="7" s="1"/>
  <c r="C181" i="7" s="1"/>
  <c r="C182" i="7" s="1"/>
  <c r="C183" i="7" s="1"/>
  <c r="C184" i="7" s="1"/>
  <c r="C185" i="7" s="1"/>
  <c r="C186" i="7" s="1"/>
  <c r="C187" i="7" s="1"/>
  <c r="C188" i="7" s="1"/>
  <c r="C189" i="7" s="1"/>
  <c r="C190" i="7" s="1"/>
  <c r="C191" i="7" s="1"/>
  <c r="C192" i="7" s="1"/>
  <c r="E172" i="7"/>
  <c r="H171" i="7"/>
  <c r="AL170" i="7"/>
  <c r="AK170" i="7"/>
  <c r="AJ170" i="7"/>
  <c r="AI170" i="7"/>
  <c r="AH170" i="7"/>
  <c r="AG170" i="7"/>
  <c r="AF170" i="7"/>
  <c r="AE170" i="7"/>
  <c r="AD170" i="7"/>
  <c r="AC170" i="7"/>
  <c r="AB170" i="7"/>
  <c r="AA170" i="7"/>
  <c r="Z170" i="7"/>
  <c r="Y170" i="7"/>
  <c r="X170" i="7"/>
  <c r="W170" i="7"/>
  <c r="V170" i="7"/>
  <c r="U170" i="7"/>
  <c r="T170" i="7"/>
  <c r="S170" i="7"/>
  <c r="R170" i="7"/>
  <c r="Q170" i="7"/>
  <c r="C135" i="7"/>
  <c r="C136" i="7" s="1"/>
  <c r="C137" i="7" s="1"/>
  <c r="C138" i="7" s="1"/>
  <c r="C139"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D134" i="7" a="1"/>
  <c r="D148" i="7" s="1"/>
  <c r="K133" i="7"/>
  <c r="D126" i="7"/>
  <c r="D125" i="7"/>
  <c r="D124" i="7"/>
  <c r="D123" i="7"/>
  <c r="D122" i="7"/>
  <c r="D121" i="7"/>
  <c r="D120" i="7"/>
  <c r="D119" i="7"/>
  <c r="D118" i="7"/>
  <c r="D117" i="7"/>
  <c r="H116" i="7"/>
  <c r="J116" i="7" s="1"/>
  <c r="D116" i="7"/>
  <c r="C116" i="7"/>
  <c r="C117" i="7" s="1"/>
  <c r="C118" i="7" s="1"/>
  <c r="C119" i="7" s="1"/>
  <c r="C120" i="7" s="1"/>
  <c r="C121" i="7" s="1"/>
  <c r="C122" i="7" s="1"/>
  <c r="C123" i="7" s="1"/>
  <c r="C124" i="7" s="1"/>
  <c r="C125" i="7" s="1"/>
  <c r="C126" i="7" s="1"/>
  <c r="H115" i="7"/>
  <c r="J115" i="7" s="1"/>
  <c r="D115" i="7"/>
  <c r="C98" i="7"/>
  <c r="C99" i="7" s="1"/>
  <c r="C100" i="7" s="1"/>
  <c r="C101" i="7" s="1"/>
  <c r="C102" i="7" s="1"/>
  <c r="C103" i="7" s="1"/>
  <c r="C104" i="7" s="1"/>
  <c r="C105" i="7" s="1"/>
  <c r="C106" i="7" s="1"/>
  <c r="C107" i="7" s="1"/>
  <c r="C108" i="7" s="1"/>
  <c r="H95" i="7"/>
  <c r="E95" i="7"/>
  <c r="I94" i="7"/>
  <c r="K89" i="7"/>
  <c r="J89" i="7"/>
  <c r="G88" i="7"/>
  <c r="F88" i="7"/>
  <c r="H82" i="7"/>
  <c r="E41" i="7" s="1"/>
  <c r="I80" i="7"/>
  <c r="J79" i="7"/>
  <c r="I79" i="7"/>
  <c r="H79" i="7"/>
  <c r="E38" i="7" s="1"/>
  <c r="G79" i="7"/>
  <c r="K78" i="7"/>
  <c r="I63" i="7"/>
  <c r="H63" i="7"/>
  <c r="E22" i="7" s="1"/>
  <c r="C59" i="7"/>
  <c r="C60" i="7" s="1"/>
  <c r="C61" i="7" s="1"/>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D90" i="7"/>
  <c r="I90" i="7" s="1"/>
  <c r="D89" i="7"/>
  <c r="D88" i="7"/>
  <c r="J88" i="7" s="1"/>
  <c r="D82" i="7"/>
  <c r="F82" i="7" s="1"/>
  <c r="D80" i="7"/>
  <c r="D79" i="7"/>
  <c r="D78" i="7"/>
  <c r="D77" i="7"/>
  <c r="K77" i="7" s="1"/>
  <c r="D75" i="7"/>
  <c r="D73" i="7"/>
  <c r="H73" i="7" s="1"/>
  <c r="E32" i="7" s="1"/>
  <c r="D72" i="7"/>
  <c r="K72" i="7" s="1"/>
  <c r="D71" i="7"/>
  <c r="I71" i="7" s="1"/>
  <c r="D63" i="7"/>
  <c r="D58" i="7" a="1"/>
  <c r="D69" i="7" s="1"/>
  <c r="J56" i="7"/>
  <c r="C19" i="7"/>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18" i="7"/>
  <c r="D17" i="7" a="1"/>
  <c r="D47" i="7" s="1"/>
  <c r="G47" i="7" s="1"/>
  <c r="H15" i="7"/>
  <c r="I10" i="7"/>
  <c r="I9" i="7"/>
  <c r="I8" i="7"/>
  <c r="I38" i="8" s="1"/>
  <c r="I40" i="8" s="1"/>
  <c r="I34" i="8" s="1"/>
  <c r="I7" i="7"/>
  <c r="C7" i="7"/>
  <c r="C8" i="7" s="1"/>
  <c r="C9" i="7" s="1"/>
  <c r="C10" i="7" s="1"/>
  <c r="D197" i="6"/>
  <c r="D198" i="6" s="1"/>
  <c r="D199" i="6" s="1"/>
  <c r="D200" i="6" s="1"/>
  <c r="D201" i="6" s="1"/>
  <c r="D202" i="6" s="1"/>
  <c r="D203" i="6" s="1"/>
  <c r="D204" i="6" s="1"/>
  <c r="D205" i="6" s="1"/>
  <c r="D206" i="6" s="1"/>
  <c r="D207" i="6" s="1"/>
  <c r="D208" i="6" s="1"/>
  <c r="D209" i="6" s="1"/>
  <c r="D210" i="6" s="1"/>
  <c r="D211" i="6" s="1"/>
  <c r="D212" i="6" s="1"/>
  <c r="D213" i="6" s="1"/>
  <c r="D214" i="6" s="1"/>
  <c r="D196" i="6"/>
  <c r="E212" i="6"/>
  <c r="E211" i="6"/>
  <c r="E210" i="6"/>
  <c r="E209" i="6"/>
  <c r="E208" i="6"/>
  <c r="E207" i="6"/>
  <c r="E200" i="6"/>
  <c r="E199" i="6"/>
  <c r="E197" i="6"/>
  <c r="E195" i="6" a="1"/>
  <c r="E214" i="6" s="1"/>
  <c r="M194" i="6"/>
  <c r="K194" i="6"/>
  <c r="J194" i="6"/>
  <c r="I194" i="6"/>
  <c r="D178" i="6"/>
  <c r="D179" i="6" s="1"/>
  <c r="D180" i="6" s="1"/>
  <c r="D181" i="6" s="1"/>
  <c r="D182" i="6" s="1"/>
  <c r="D183" i="6" s="1"/>
  <c r="D184" i="6" s="1"/>
  <c r="D185" i="6" s="1"/>
  <c r="D186" i="6" s="1"/>
  <c r="D187" i="6" s="1"/>
  <c r="D188" i="6" s="1"/>
  <c r="D170" i="6"/>
  <c r="D171" i="6" s="1"/>
  <c r="D172" i="6" s="1"/>
  <c r="D173" i="6" s="1"/>
  <c r="D174" i="6" s="1"/>
  <c r="D175" i="6" s="1"/>
  <c r="D176" i="6" s="1"/>
  <c r="D177" i="6" s="1"/>
  <c r="C170" i="6"/>
  <c r="E185" i="6"/>
  <c r="E178" i="6"/>
  <c r="E177" i="6"/>
  <c r="E176" i="6"/>
  <c r="E175" i="6"/>
  <c r="E174" i="6"/>
  <c r="E172" i="6"/>
  <c r="E170" i="6"/>
  <c r="E169" i="6" a="1"/>
  <c r="M168" i="6"/>
  <c r="L168" i="6"/>
  <c r="K168" i="6"/>
  <c r="J168" i="6"/>
  <c r="I168" i="6"/>
  <c r="G162" i="6"/>
  <c r="F162" i="6"/>
  <c r="D162" i="6"/>
  <c r="G161" i="6"/>
  <c r="F161" i="6"/>
  <c r="E162" i="6"/>
  <c r="E161" i="6" a="1"/>
  <c r="E161" i="6" s="1"/>
  <c r="M160" i="6"/>
  <c r="L160" i="6"/>
  <c r="K160" i="6"/>
  <c r="J160" i="6"/>
  <c r="I160" i="6"/>
  <c r="D154" i="6"/>
  <c r="E154" i="6"/>
  <c r="E153" i="6" a="1"/>
  <c r="E153" i="6" s="1"/>
  <c r="M152" i="6"/>
  <c r="L152" i="6"/>
  <c r="K152" i="6"/>
  <c r="J152" i="6"/>
  <c r="I152" i="6"/>
  <c r="M137" i="6"/>
  <c r="O133" i="6"/>
  <c r="N133" i="6"/>
  <c r="O131" i="6"/>
  <c r="N131" i="6"/>
  <c r="O124" i="6"/>
  <c r="N124" i="6"/>
  <c r="J124" i="6"/>
  <c r="I124" i="6"/>
  <c r="F95" i="6"/>
  <c r="C95" i="6"/>
  <c r="G90" i="6"/>
  <c r="F76" i="6"/>
  <c r="G75" i="6"/>
  <c r="G72" i="6"/>
  <c r="F72" i="6"/>
  <c r="G70" i="6"/>
  <c r="D65" i="6"/>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N63" i="6"/>
  <c r="G63" i="6"/>
  <c r="D63" i="6"/>
  <c r="D64" i="6" s="1"/>
  <c r="E95" i="6"/>
  <c r="E94" i="6"/>
  <c r="E93" i="6"/>
  <c r="E91" i="6"/>
  <c r="E90" i="6"/>
  <c r="E75" i="6"/>
  <c r="C75" i="6" s="1"/>
  <c r="E74" i="6"/>
  <c r="E73" i="6"/>
  <c r="C73" i="6" s="1"/>
  <c r="E72" i="6"/>
  <c r="C72" i="6" s="1"/>
  <c r="E71" i="6"/>
  <c r="E65" i="6"/>
  <c r="E63" i="6"/>
  <c r="C63" i="6" s="1"/>
  <c r="E62" i="6"/>
  <c r="E62" i="6" a="1"/>
  <c r="M61" i="6"/>
  <c r="L61" i="6"/>
  <c r="K61" i="6"/>
  <c r="J61" i="6"/>
  <c r="I61" i="6"/>
  <c r="N54" i="6"/>
  <c r="N95" i="6" s="1"/>
  <c r="F54" i="6"/>
  <c r="G49" i="6"/>
  <c r="F49" i="6"/>
  <c r="G46" i="6"/>
  <c r="G87" i="6" s="1"/>
  <c r="F46" i="6"/>
  <c r="F87" i="6" s="1"/>
  <c r="F40" i="6"/>
  <c r="N40" i="6" s="1"/>
  <c r="N81" i="6" s="1"/>
  <c r="C40" i="6"/>
  <c r="N35" i="6"/>
  <c r="N76" i="6" s="1"/>
  <c r="G35" i="6"/>
  <c r="G76" i="6" s="1"/>
  <c r="C35" i="6"/>
  <c r="O34" i="6"/>
  <c r="O75" i="6" s="1"/>
  <c r="N34" i="6"/>
  <c r="N75" i="6" s="1"/>
  <c r="G34" i="6"/>
  <c r="F34" i="6"/>
  <c r="F75" i="6" s="1"/>
  <c r="F32" i="6"/>
  <c r="F73" i="6" s="1"/>
  <c r="C32" i="6"/>
  <c r="F31" i="6"/>
  <c r="C31" i="6"/>
  <c r="O29" i="6"/>
  <c r="O70" i="6" s="1"/>
  <c r="G29" i="6"/>
  <c r="F26" i="6"/>
  <c r="C26" i="6" s="1"/>
  <c r="D23" i="6"/>
  <c r="D24" i="6" s="1"/>
  <c r="D25" i="6" s="1"/>
  <c r="D26" i="6" s="1"/>
  <c r="D27" i="6" s="1"/>
  <c r="D28" i="6" s="1"/>
  <c r="D29" i="6" s="1"/>
  <c r="D30" i="6" s="1"/>
  <c r="D31" i="6" s="1"/>
  <c r="D32" i="6" s="1"/>
  <c r="D33" i="6" s="1"/>
  <c r="D34" i="6" s="1"/>
  <c r="D35" i="6" s="1"/>
  <c r="D36" i="6" s="1"/>
  <c r="D37" i="6" s="1"/>
  <c r="D38" i="6" s="1"/>
  <c r="D39" i="6" s="1"/>
  <c r="D40" i="6" s="1"/>
  <c r="D41" i="6" s="1"/>
  <c r="D42" i="6" s="1"/>
  <c r="D43" i="6" s="1"/>
  <c r="D44" i="6" s="1"/>
  <c r="D45" i="6" s="1"/>
  <c r="D46" i="6" s="1"/>
  <c r="D47" i="6" s="1"/>
  <c r="D48" i="6" s="1"/>
  <c r="D49" i="6" s="1"/>
  <c r="D50" i="6" s="1"/>
  <c r="D51" i="6" s="1"/>
  <c r="D52" i="6" s="1"/>
  <c r="D53" i="6" s="1"/>
  <c r="D54" i="6" s="1"/>
  <c r="N22" i="6"/>
  <c r="G22" i="6"/>
  <c r="D22" i="6"/>
  <c r="C22" i="6"/>
  <c r="E54" i="6"/>
  <c r="E53" i="6"/>
  <c r="E51" i="6"/>
  <c r="E50" i="6"/>
  <c r="E49" i="6"/>
  <c r="E48" i="6"/>
  <c r="E46" i="6"/>
  <c r="E43" i="6"/>
  <c r="E42" i="6"/>
  <c r="E41" i="6"/>
  <c r="E40" i="6"/>
  <c r="O40" i="6" s="1"/>
  <c r="O81" i="6" s="1"/>
  <c r="E39" i="6"/>
  <c r="E37" i="6"/>
  <c r="E36" i="6"/>
  <c r="E35" i="6"/>
  <c r="F35" i="6" s="1"/>
  <c r="E34" i="6"/>
  <c r="E33" i="6"/>
  <c r="E32" i="6"/>
  <c r="E31" i="6"/>
  <c r="G31" i="6" s="1"/>
  <c r="E29" i="6"/>
  <c r="F29" i="6" s="1"/>
  <c r="N29" i="6" s="1"/>
  <c r="N70" i="6" s="1"/>
  <c r="E28" i="6"/>
  <c r="E27" i="6"/>
  <c r="E26" i="6"/>
  <c r="G26" i="6" s="1"/>
  <c r="G67" i="6" s="1"/>
  <c r="E25" i="6"/>
  <c r="E24" i="6"/>
  <c r="E22" i="6"/>
  <c r="F22" i="6" s="1"/>
  <c r="F63" i="6" s="1"/>
  <c r="E21" i="6" a="1"/>
  <c r="M20" i="6"/>
  <c r="L20" i="6"/>
  <c r="K20" i="6"/>
  <c r="J20" i="6"/>
  <c r="I20" i="6"/>
  <c r="O13" i="6"/>
  <c r="N13" i="6"/>
  <c r="M13" i="6"/>
  <c r="L13" i="6"/>
  <c r="K13" i="6"/>
  <c r="J13" i="6"/>
  <c r="I13" i="6"/>
  <c r="D67" i="5"/>
  <c r="C66" i="5"/>
  <c r="I64" i="5"/>
  <c r="C63" i="5"/>
  <c r="C58" i="5"/>
  <c r="N37" i="5"/>
  <c r="N36" i="5"/>
  <c r="N35" i="5"/>
  <c r="I33" i="5"/>
  <c r="I31" i="5"/>
  <c r="C13" i="5"/>
  <c r="C16" i="5" s="1"/>
  <c r="C19" i="5" s="1"/>
  <c r="C28" i="5" s="1"/>
  <c r="C41" i="5" s="1"/>
  <c r="C50" i="5" s="1"/>
  <c r="J8" i="4"/>
  <c r="J9" i="4" s="1"/>
  <c r="J10" i="4" s="1"/>
  <c r="J11" i="4" s="1"/>
  <c r="J12" i="4" s="1"/>
  <c r="J13" i="4" s="1"/>
  <c r="J14" i="4" s="1"/>
  <c r="J15" i="4" s="1"/>
  <c r="J16" i="4" s="1"/>
  <c r="J17" i="4" s="1"/>
  <c r="J18" i="4" s="1"/>
  <c r="J19" i="4" s="1"/>
  <c r="J20" i="4" s="1"/>
  <c r="J21" i="4" s="1"/>
  <c r="J22" i="4" s="1"/>
  <c r="J23" i="4" s="1"/>
  <c r="D8" i="4"/>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M7" i="4"/>
  <c r="M8" i="4" s="1"/>
  <c r="M9" i="4" s="1"/>
  <c r="M10" i="4" s="1"/>
  <c r="M11" i="4" s="1"/>
  <c r="M12" i="4" s="1"/>
  <c r="M13" i="4" s="1"/>
  <c r="M14" i="4" s="1"/>
  <c r="M15" i="4" s="1"/>
  <c r="M16" i="4" s="1"/>
  <c r="M17" i="4" s="1"/>
  <c r="M18" i="4" s="1"/>
  <c r="M19" i="4" s="1"/>
  <c r="J7" i="4"/>
  <c r="D7" i="4"/>
  <c r="M6" i="4"/>
  <c r="M5" i="4"/>
  <c r="J5" i="4"/>
  <c r="J6" i="4" s="1"/>
  <c r="D5" i="4"/>
  <c r="D6" i="4" s="1"/>
  <c r="B5" i="4"/>
  <c r="E135" i="3"/>
  <c r="H134" i="3"/>
  <c r="G134" i="3"/>
  <c r="G142" i="3" s="1"/>
  <c r="F134" i="3"/>
  <c r="E134" i="3"/>
  <c r="F142" i="3" s="1"/>
  <c r="H129" i="3"/>
  <c r="G129" i="3"/>
  <c r="E129" i="3"/>
  <c r="G128" i="3"/>
  <c r="F128" i="3"/>
  <c r="F127" i="3"/>
  <c r="G127" i="3" s="1"/>
  <c r="F126" i="3"/>
  <c r="G126" i="3" s="1"/>
  <c r="E133" i="3" s="1" a="1"/>
  <c r="B11" i="2"/>
  <c r="B10" i="2"/>
  <c r="B9" i="2"/>
  <c r="B8" i="2"/>
  <c r="B6" i="2"/>
  <c r="B5" i="2"/>
  <c r="H328" i="7" l="1"/>
  <c r="H330" i="7"/>
  <c r="H331" i="7" s="1"/>
  <c r="H332" i="7" s="1"/>
  <c r="H333" i="7" s="1"/>
  <c r="H334" i="7" s="1"/>
  <c r="H335" i="7" s="1"/>
  <c r="H336" i="7" s="1"/>
  <c r="H337" i="7" s="1"/>
  <c r="H338" i="7" s="1"/>
  <c r="H339" i="7" s="1"/>
  <c r="H342" i="7" s="1"/>
  <c r="H343" i="7" s="1"/>
  <c r="H344" i="7" s="1"/>
  <c r="H345" i="7" s="1"/>
  <c r="H346" i="7" s="1"/>
  <c r="H347" i="7" s="1"/>
  <c r="O335" i="7"/>
  <c r="I330" i="7"/>
  <c r="I331" i="7" s="1"/>
  <c r="I332" i="7" s="1"/>
  <c r="I333" i="7" s="1"/>
  <c r="I334" i="7" s="1"/>
  <c r="I335" i="7" s="1"/>
  <c r="I336" i="7" s="1"/>
  <c r="I337" i="7" s="1"/>
  <c r="I338" i="7" s="1"/>
  <c r="I339" i="7" s="1"/>
  <c r="I342" i="7" s="1"/>
  <c r="I343" i="7" s="1"/>
  <c r="I344" i="7" s="1"/>
  <c r="I345" i="7" s="1"/>
  <c r="I346" i="7" s="1"/>
  <c r="I347" i="7" s="1"/>
  <c r="I328" i="7"/>
  <c r="D135" i="7"/>
  <c r="D147" i="7"/>
  <c r="D153" i="7"/>
  <c r="G153" i="7" s="1"/>
  <c r="N324" i="7"/>
  <c r="D36" i="7"/>
  <c r="D156" i="7"/>
  <c r="F156" i="7" s="1"/>
  <c r="B156" i="7" s="1"/>
  <c r="F267" i="7"/>
  <c r="D37" i="7"/>
  <c r="G37" i="7" s="1"/>
  <c r="H88" i="7"/>
  <c r="E47" i="7" s="1"/>
  <c r="D158" i="7"/>
  <c r="I267" i="7"/>
  <c r="D38" i="7"/>
  <c r="F38" i="7" s="1"/>
  <c r="H118" i="7"/>
  <c r="D160" i="7"/>
  <c r="G160" i="7" s="1"/>
  <c r="D145" i="7"/>
  <c r="G145" i="7" s="1"/>
  <c r="N336" i="7"/>
  <c r="D28" i="7"/>
  <c r="G28" i="7" s="1"/>
  <c r="D40" i="7"/>
  <c r="F40" i="7" s="1"/>
  <c r="E269" i="7"/>
  <c r="D41" i="7"/>
  <c r="F90" i="7"/>
  <c r="D44" i="7"/>
  <c r="K71" i="7"/>
  <c r="D283" i="7"/>
  <c r="F270" i="7"/>
  <c r="H288" i="7"/>
  <c r="N339" i="7"/>
  <c r="D45" i="7"/>
  <c r="D61" i="7"/>
  <c r="K61" i="7" s="1"/>
  <c r="D285" i="7"/>
  <c r="F285" i="7" s="1"/>
  <c r="H270" i="7"/>
  <c r="I288" i="7"/>
  <c r="O339" i="7"/>
  <c r="D18" i="7"/>
  <c r="F18" i="7" s="1"/>
  <c r="D137" i="7"/>
  <c r="G137" i="7" s="1"/>
  <c r="H117" i="7"/>
  <c r="J117" i="7" s="1"/>
  <c r="D155" i="7"/>
  <c r="G155" i="7" s="1"/>
  <c r="D39" i="7"/>
  <c r="D161" i="7"/>
  <c r="E270" i="7"/>
  <c r="L270" i="7"/>
  <c r="L288" i="7"/>
  <c r="F271" i="7"/>
  <c r="D48" i="7"/>
  <c r="G48" i="7" s="1"/>
  <c r="D65" i="7"/>
  <c r="I77" i="7"/>
  <c r="D261" i="7"/>
  <c r="D291" i="7"/>
  <c r="I271" i="7"/>
  <c r="D20" i="7"/>
  <c r="G20" i="7" s="1"/>
  <c r="D21" i="7"/>
  <c r="D22" i="7"/>
  <c r="G22" i="7" s="1"/>
  <c r="N323" i="7"/>
  <c r="D25" i="7"/>
  <c r="D42" i="7"/>
  <c r="G42" i="7" s="1"/>
  <c r="B270" i="7"/>
  <c r="D43" i="7"/>
  <c r="D46" i="7"/>
  <c r="F46" i="7" s="1"/>
  <c r="G73" i="7"/>
  <c r="D64" i="7"/>
  <c r="H64" i="7" s="1"/>
  <c r="E23" i="7" s="1"/>
  <c r="D289" i="7"/>
  <c r="L289" i="7" s="1"/>
  <c r="D264" i="7"/>
  <c r="O322" i="7"/>
  <c r="G42" i="6"/>
  <c r="G83" i="6" s="1"/>
  <c r="F42" i="6"/>
  <c r="F83" i="6" s="1"/>
  <c r="C42" i="6"/>
  <c r="I44" i="8"/>
  <c r="G25" i="6"/>
  <c r="G66" i="6" s="1"/>
  <c r="F25" i="6"/>
  <c r="O25" i="6"/>
  <c r="O66" i="6" s="1"/>
  <c r="G53" i="6"/>
  <c r="G94" i="6" s="1"/>
  <c r="C46" i="6"/>
  <c r="E248" i="7"/>
  <c r="O154" i="6"/>
  <c r="N154" i="6"/>
  <c r="G41" i="6"/>
  <c r="G82" i="6" s="1"/>
  <c r="O41" i="6"/>
  <c r="O82" i="6" s="1"/>
  <c r="N41" i="6"/>
  <c r="N82" i="6" s="1"/>
  <c r="AD20" i="8"/>
  <c r="AD28" i="8"/>
  <c r="AD27" i="8" s="1"/>
  <c r="AD21" i="8"/>
  <c r="G43" i="6"/>
  <c r="G84" i="6" s="1"/>
  <c r="F43" i="6"/>
  <c r="F84" i="6" s="1"/>
  <c r="O42" i="6"/>
  <c r="O83" i="6" s="1"/>
  <c r="F67" i="6"/>
  <c r="F48" i="6"/>
  <c r="F89" i="6" s="1"/>
  <c r="C48" i="6"/>
  <c r="O48" i="6"/>
  <c r="O89" i="6" s="1"/>
  <c r="G48" i="6"/>
  <c r="G89" i="6" s="1"/>
  <c r="C43" i="6"/>
  <c r="G44" i="7"/>
  <c r="F44" i="7"/>
  <c r="H142" i="3"/>
  <c r="G45" i="7"/>
  <c r="F45" i="7"/>
  <c r="O50" i="6"/>
  <c r="O91" i="6" s="1"/>
  <c r="C50" i="6"/>
  <c r="N50" i="6"/>
  <c r="N91" i="6" s="1"/>
  <c r="G50" i="6"/>
  <c r="G91" i="6" s="1"/>
  <c r="F50" i="6"/>
  <c r="F91" i="6" s="1"/>
  <c r="O31" i="6"/>
  <c r="O72" i="6" s="1"/>
  <c r="F172" i="6"/>
  <c r="C172" i="6" s="1"/>
  <c r="G24" i="6"/>
  <c r="G65" i="6" s="1"/>
  <c r="F24" i="6"/>
  <c r="G51" i="6"/>
  <c r="G92" i="6" s="1"/>
  <c r="F51" i="6"/>
  <c r="F70" i="6"/>
  <c r="F63" i="7"/>
  <c r="J63" i="7"/>
  <c r="K63" i="7"/>
  <c r="G63" i="7"/>
  <c r="H279" i="7"/>
  <c r="E279" i="7"/>
  <c r="L279" i="7"/>
  <c r="I279" i="7"/>
  <c r="F279" i="7"/>
  <c r="B279" i="7"/>
  <c r="F90" i="6"/>
  <c r="C49" i="6"/>
  <c r="K64" i="7"/>
  <c r="F280" i="7"/>
  <c r="H280" i="7"/>
  <c r="E280" i="7"/>
  <c r="B280" i="7" s="1"/>
  <c r="L280" i="7"/>
  <c r="I280" i="7"/>
  <c r="N26" i="6"/>
  <c r="N67" i="6" s="1"/>
  <c r="J65" i="7"/>
  <c r="H65" i="7"/>
  <c r="E24" i="7" s="1"/>
  <c r="K65" i="7"/>
  <c r="I65" i="7"/>
  <c r="F65" i="7"/>
  <c r="G65" i="7"/>
  <c r="L285" i="7"/>
  <c r="E285" i="7"/>
  <c r="I285" i="7"/>
  <c r="H285" i="7"/>
  <c r="O26" i="6"/>
  <c r="O67" i="6" s="1"/>
  <c r="C41" i="6"/>
  <c r="F41" i="6"/>
  <c r="F82" i="6" s="1"/>
  <c r="F153" i="7"/>
  <c r="B153" i="7"/>
  <c r="F69" i="7"/>
  <c r="K69" i="7"/>
  <c r="J69" i="7"/>
  <c r="H69" i="7"/>
  <c r="E28" i="7" s="1"/>
  <c r="G69" i="7"/>
  <c r="I69" i="7"/>
  <c r="O22" i="6"/>
  <c r="O63" i="6" s="1"/>
  <c r="Q106" i="11" s="1"/>
  <c r="O35" i="6"/>
  <c r="O76" i="6" s="1"/>
  <c r="C90" i="6"/>
  <c r="G172" i="6"/>
  <c r="F71" i="7"/>
  <c r="G71" i="7"/>
  <c r="N25" i="6"/>
  <c r="N66" i="6" s="1"/>
  <c r="H71" i="7"/>
  <c r="E30" i="7" s="1"/>
  <c r="F53" i="6"/>
  <c r="F94" i="6" s="1"/>
  <c r="C94" i="6" s="1"/>
  <c r="J77" i="7"/>
  <c r="H77" i="7"/>
  <c r="E36" i="7" s="1"/>
  <c r="G77" i="7"/>
  <c r="F77" i="7"/>
  <c r="I261" i="7"/>
  <c r="E261" i="7"/>
  <c r="B261" i="7" s="1"/>
  <c r="H261" i="7"/>
  <c r="L261" i="7"/>
  <c r="F261" i="7"/>
  <c r="F291" i="7"/>
  <c r="I291" i="7"/>
  <c r="E291" i="7"/>
  <c r="B291" i="7" s="1"/>
  <c r="L291" i="7"/>
  <c r="H291" i="7"/>
  <c r="O153" i="6"/>
  <c r="N153" i="6"/>
  <c r="J71" i="7"/>
  <c r="L281" i="7"/>
  <c r="I281" i="7"/>
  <c r="H281" i="7"/>
  <c r="F281" i="7"/>
  <c r="E281" i="7"/>
  <c r="B281" i="7" s="1"/>
  <c r="V5" i="8"/>
  <c r="V58" i="8"/>
  <c r="V7" i="8"/>
  <c r="V30" i="8"/>
  <c r="V8" i="8"/>
  <c r="O46" i="6"/>
  <c r="O87" i="6" s="1"/>
  <c r="H282" i="7"/>
  <c r="B282" i="7"/>
  <c r="C63" i="10"/>
  <c r="C64" i="10" s="1"/>
  <c r="C65" i="10" s="1"/>
  <c r="C68" i="10" s="1"/>
  <c r="C69" i="10" s="1"/>
  <c r="C70" i="10" s="1"/>
  <c r="C71" i="10" s="1"/>
  <c r="C73" i="10" s="1"/>
  <c r="C74" i="10" s="1"/>
  <c r="C75" i="10" s="1"/>
  <c r="C76" i="10" s="1"/>
  <c r="C78" i="10" s="1"/>
  <c r="C79" i="10" s="1"/>
  <c r="C82" i="10" s="1"/>
  <c r="C85" i="10" s="1"/>
  <c r="C86" i="10" s="1"/>
  <c r="C90" i="10" s="1"/>
  <c r="C91" i="10" s="1"/>
  <c r="C92" i="10" s="1"/>
  <c r="C97" i="10" s="1"/>
  <c r="C98" i="10" s="1"/>
  <c r="C99" i="10" s="1"/>
  <c r="C105" i="10" s="1"/>
  <c r="C106" i="10" s="1"/>
  <c r="C60" i="10"/>
  <c r="O54" i="6"/>
  <c r="O95" i="6" s="1"/>
  <c r="G54" i="6"/>
  <c r="G95" i="6" s="1"/>
  <c r="F20" i="7"/>
  <c r="G72" i="7"/>
  <c r="H72" i="7"/>
  <c r="E31" i="7" s="1"/>
  <c r="J72" i="7"/>
  <c r="F72" i="7"/>
  <c r="C91" i="6"/>
  <c r="G27" i="6"/>
  <c r="G68" i="6" s="1"/>
  <c r="F27" i="6"/>
  <c r="F68" i="6" s="1"/>
  <c r="C27" i="6"/>
  <c r="C54" i="6"/>
  <c r="F21" i="7"/>
  <c r="G21" i="7"/>
  <c r="F73" i="7"/>
  <c r="K73" i="7"/>
  <c r="J73" i="7"/>
  <c r="I73" i="7"/>
  <c r="I72" i="7"/>
  <c r="G147" i="7"/>
  <c r="H147" i="7"/>
  <c r="F147" i="7"/>
  <c r="B147" i="7" s="1"/>
  <c r="L265" i="7"/>
  <c r="I265" i="7"/>
  <c r="H265" i="7"/>
  <c r="H293" i="7"/>
  <c r="E293" i="7"/>
  <c r="F293" i="7"/>
  <c r="B293" i="7"/>
  <c r="H75" i="7"/>
  <c r="E34" i="7" s="1"/>
  <c r="J75" i="7"/>
  <c r="G75" i="7"/>
  <c r="K75" i="7"/>
  <c r="I75" i="7"/>
  <c r="F75" i="7"/>
  <c r="G148" i="7"/>
  <c r="I266" i="7"/>
  <c r="L266" i="7"/>
  <c r="H266" i="7"/>
  <c r="E266" i="7"/>
  <c r="B266" i="7" s="1"/>
  <c r="E294" i="7"/>
  <c r="B294" i="7" s="1"/>
  <c r="L294" i="7"/>
  <c r="F79" i="7"/>
  <c r="K79" i="7"/>
  <c r="F80" i="7"/>
  <c r="H80" i="7"/>
  <c r="E39" i="7" s="1"/>
  <c r="G80" i="7"/>
  <c r="K80" i="7"/>
  <c r="J80" i="7"/>
  <c r="O326" i="7"/>
  <c r="N326" i="7"/>
  <c r="O5" i="8"/>
  <c r="O7" i="8"/>
  <c r="O8" i="8" s="1"/>
  <c r="O58" i="8"/>
  <c r="O30" i="8"/>
  <c r="G36" i="6"/>
  <c r="G77" i="6" s="1"/>
  <c r="F36" i="6"/>
  <c r="F81" i="6"/>
  <c r="E265" i="7"/>
  <c r="B265" i="7" s="1"/>
  <c r="L293" i="7"/>
  <c r="P30" i="8"/>
  <c r="P58" i="8"/>
  <c r="P5" i="8"/>
  <c r="P8" i="8"/>
  <c r="P7" i="8"/>
  <c r="AP58" i="8"/>
  <c r="AP30" i="8"/>
  <c r="AP5" i="8"/>
  <c r="AP7" i="8"/>
  <c r="AP8" i="8" s="1"/>
  <c r="F37" i="6"/>
  <c r="O37" i="6"/>
  <c r="O78" i="6" s="1"/>
  <c r="N37" i="6"/>
  <c r="N78" i="6" s="1"/>
  <c r="G37" i="6"/>
  <c r="G78" i="6" s="1"/>
  <c r="N31" i="6"/>
  <c r="N72" i="6" s="1"/>
  <c r="G40" i="6"/>
  <c r="G81" i="6" s="1"/>
  <c r="G41" i="7"/>
  <c r="F41" i="7"/>
  <c r="F265" i="7"/>
  <c r="L282" i="7"/>
  <c r="F294" i="7"/>
  <c r="H294" i="7"/>
  <c r="F36" i="7"/>
  <c r="G36" i="7"/>
  <c r="F148" i="7"/>
  <c r="B148" i="7" s="1"/>
  <c r="K58" i="8"/>
  <c r="K7" i="8"/>
  <c r="K8" i="8" s="1"/>
  <c r="K30" i="8"/>
  <c r="K5" i="8"/>
  <c r="AM58" i="8"/>
  <c r="AM7" i="8"/>
  <c r="AM8" i="8"/>
  <c r="AM5" i="8"/>
  <c r="F135" i="3"/>
  <c r="F143" i="3" s="1"/>
  <c r="H135" i="3"/>
  <c r="G135" i="3"/>
  <c r="G143" i="3" s="1"/>
  <c r="H133" i="3"/>
  <c r="G133" i="3"/>
  <c r="F133" i="3"/>
  <c r="E133" i="3"/>
  <c r="E136" i="3" s="1"/>
  <c r="J64" i="10"/>
  <c r="J72" i="9"/>
  <c r="M72" i="9"/>
  <c r="C34" i="6"/>
  <c r="G82" i="7"/>
  <c r="J82" i="7"/>
  <c r="I82" i="7"/>
  <c r="K82" i="7"/>
  <c r="H148" i="7"/>
  <c r="I282" i="7"/>
  <c r="M7" i="8"/>
  <c r="M8" i="8" s="1"/>
  <c r="M30" i="8"/>
  <c r="M5" i="8"/>
  <c r="AN58" i="8"/>
  <c r="AN7" i="8"/>
  <c r="AN8" i="8"/>
  <c r="AN5" i="8"/>
  <c r="G39" i="7"/>
  <c r="F39" i="7"/>
  <c r="K88" i="7"/>
  <c r="I88" i="7"/>
  <c r="I293" i="7"/>
  <c r="AO58" i="8"/>
  <c r="AO7" i="8"/>
  <c r="AO8" i="8" s="1"/>
  <c r="AO30" i="8"/>
  <c r="AO5" i="8"/>
  <c r="G174" i="6"/>
  <c r="G39" i="6"/>
  <c r="G80" i="6" s="1"/>
  <c r="F39" i="6"/>
  <c r="F80" i="6" s="1"/>
  <c r="C39" i="6"/>
  <c r="H277" i="7"/>
  <c r="E277" i="7"/>
  <c r="B277" i="7" s="1"/>
  <c r="I277" i="7"/>
  <c r="F277" i="7"/>
  <c r="L277" i="7"/>
  <c r="F129" i="3"/>
  <c r="E88" i="6"/>
  <c r="E66" i="6"/>
  <c r="E86" i="6"/>
  <c r="E64" i="6"/>
  <c r="E80" i="6"/>
  <c r="C80" i="6" s="1"/>
  <c r="E92" i="6"/>
  <c r="E67" i="6"/>
  <c r="E87" i="6"/>
  <c r="C87" i="6" s="1"/>
  <c r="E82" i="6"/>
  <c r="C82" i="6" s="1"/>
  <c r="E81" i="6"/>
  <c r="E79" i="6"/>
  <c r="E78" i="6"/>
  <c r="E89" i="6"/>
  <c r="C89" i="6" s="1"/>
  <c r="E85" i="6"/>
  <c r="E84" i="6"/>
  <c r="C84" i="6" s="1"/>
  <c r="E83" i="6"/>
  <c r="C83" i="6" s="1"/>
  <c r="E77" i="6"/>
  <c r="E76" i="6"/>
  <c r="C76" i="6" s="1"/>
  <c r="E69" i="6"/>
  <c r="E70" i="6"/>
  <c r="E68" i="6"/>
  <c r="C68" i="6" s="1"/>
  <c r="H278" i="7"/>
  <c r="E278" i="7"/>
  <c r="B278" i="7" s="1"/>
  <c r="L278" i="7"/>
  <c r="F278" i="7"/>
  <c r="I294" i="7"/>
  <c r="I89" i="7"/>
  <c r="H89" i="7"/>
  <c r="E48" i="7" s="1"/>
  <c r="G89" i="7"/>
  <c r="F89" i="7"/>
  <c r="AR64" i="8"/>
  <c r="AR63" i="8" s="1"/>
  <c r="AR59" i="8" s="1"/>
  <c r="AR25" i="8"/>
  <c r="AR36" i="8"/>
  <c r="AR38" i="8" s="1"/>
  <c r="AR40" i="8" s="1"/>
  <c r="AR34" i="8" s="1"/>
  <c r="G28" i="6"/>
  <c r="G69" i="6" s="1"/>
  <c r="F28" i="6"/>
  <c r="F69" i="6" s="1"/>
  <c r="C29" i="6"/>
  <c r="K90" i="7"/>
  <c r="J90" i="7"/>
  <c r="H90" i="7"/>
  <c r="E49" i="7" s="1"/>
  <c r="G90" i="7"/>
  <c r="D146" i="7"/>
  <c r="D159" i="7"/>
  <c r="D136" i="7"/>
  <c r="D157" i="7"/>
  <c r="D134" i="7"/>
  <c r="D151" i="7"/>
  <c r="D149" i="7"/>
  <c r="D167" i="7"/>
  <c r="D141" i="7"/>
  <c r="D154" i="7"/>
  <c r="D152" i="7"/>
  <c r="D150" i="7"/>
  <c r="D165" i="7"/>
  <c r="D164" i="7"/>
  <c r="D163" i="7"/>
  <c r="D162" i="7"/>
  <c r="D144" i="7"/>
  <c r="D143" i="7"/>
  <c r="D142" i="7"/>
  <c r="D138" i="7"/>
  <c r="D140" i="7"/>
  <c r="D139" i="7"/>
  <c r="D166" i="7"/>
  <c r="Y36" i="8"/>
  <c r="Y38" i="8" s="1"/>
  <c r="Y40" i="8" s="1"/>
  <c r="Y34" i="8" s="1"/>
  <c r="Y64" i="8"/>
  <c r="Y63" i="8" s="1"/>
  <c r="Y59" i="8" s="1"/>
  <c r="N319" i="7"/>
  <c r="N322" i="7"/>
  <c r="O330" i="7"/>
  <c r="N330" i="7"/>
  <c r="Y28" i="8"/>
  <c r="Y27" i="8" s="1"/>
  <c r="Y20" i="8"/>
  <c r="Y21" i="8"/>
  <c r="C103" i="9"/>
  <c r="C104" i="9" s="1"/>
  <c r="C100" i="9"/>
  <c r="O49" i="6"/>
  <c r="O90" i="6" s="1"/>
  <c r="E173" i="6"/>
  <c r="E171" i="6"/>
  <c r="E187" i="6"/>
  <c r="E169" i="6"/>
  <c r="C169" i="6" s="1"/>
  <c r="E180" i="6"/>
  <c r="E188" i="6"/>
  <c r="E186" i="6"/>
  <c r="G40" i="7"/>
  <c r="I78" i="7"/>
  <c r="J78" i="7"/>
  <c r="H78" i="7"/>
  <c r="E37" i="7" s="1"/>
  <c r="G78" i="7"/>
  <c r="F78" i="7"/>
  <c r="Q21" i="8"/>
  <c r="Q20" i="8"/>
  <c r="L264" i="7"/>
  <c r="E264" i="7"/>
  <c r="B264" i="7"/>
  <c r="H264" i="7"/>
  <c r="H292" i="7"/>
  <c r="L292" i="7"/>
  <c r="I292" i="7"/>
  <c r="U58" i="8"/>
  <c r="U5" i="8"/>
  <c r="U7" i="8"/>
  <c r="U30" i="8"/>
  <c r="U8" i="8"/>
  <c r="F48" i="7"/>
  <c r="Q28" i="8"/>
  <c r="Q27" i="8" s="1"/>
  <c r="D35" i="7"/>
  <c r="D33" i="7"/>
  <c r="D49" i="7"/>
  <c r="D27" i="7"/>
  <c r="D29" i="7"/>
  <c r="D26" i="7"/>
  <c r="D24" i="7"/>
  <c r="D50" i="7"/>
  <c r="D23" i="7"/>
  <c r="D34" i="7"/>
  <c r="D32" i="7"/>
  <c r="D31" i="7"/>
  <c r="D30" i="7"/>
  <c r="D81" i="7"/>
  <c r="D59" i="7"/>
  <c r="D76" i="7"/>
  <c r="D74" i="7"/>
  <c r="D91" i="7"/>
  <c r="D68" i="7"/>
  <c r="D86" i="7"/>
  <c r="D60" i="7"/>
  <c r="D70" i="7"/>
  <c r="D67" i="7"/>
  <c r="D66" i="7"/>
  <c r="D87" i="7"/>
  <c r="D85" i="7"/>
  <c r="D84" i="7"/>
  <c r="D83" i="7"/>
  <c r="E292" i="7"/>
  <c r="B292" i="7" s="1"/>
  <c r="F47" i="7"/>
  <c r="N49" i="6"/>
  <c r="N90" i="6" s="1"/>
  <c r="E179" i="6"/>
  <c r="O323" i="7"/>
  <c r="O32" i="6"/>
  <c r="O73" i="6" s="1"/>
  <c r="G32" i="6"/>
  <c r="G73" i="6" s="1"/>
  <c r="N32" i="6"/>
  <c r="N73" i="6" s="1"/>
  <c r="E181" i="6"/>
  <c r="B6" i="4"/>
  <c r="G33" i="6"/>
  <c r="G74" i="6" s="1"/>
  <c r="F33" i="6"/>
  <c r="C33" i="6" s="1"/>
  <c r="E182" i="6"/>
  <c r="D17" i="7"/>
  <c r="D58" i="7"/>
  <c r="F292" i="7"/>
  <c r="E183" i="6"/>
  <c r="E203" i="6"/>
  <c r="E201" i="6"/>
  <c r="E195" i="6"/>
  <c r="C195" i="6" s="1"/>
  <c r="E198" i="6"/>
  <c r="E213" i="6"/>
  <c r="E206" i="6"/>
  <c r="E205" i="6"/>
  <c r="E204" i="6"/>
  <c r="E202" i="6"/>
  <c r="E184" i="6"/>
  <c r="E196" i="6"/>
  <c r="C196" i="6" s="1"/>
  <c r="D19" i="7"/>
  <c r="D62" i="7"/>
  <c r="O324" i="7"/>
  <c r="E52" i="6"/>
  <c r="E30" i="6"/>
  <c r="E38" i="6"/>
  <c r="E44" i="6"/>
  <c r="N46" i="6"/>
  <c r="N87" i="6" s="1"/>
  <c r="AC8" i="8"/>
  <c r="AC5" i="8"/>
  <c r="AC30" i="8"/>
  <c r="E21" i="6"/>
  <c r="E45" i="6"/>
  <c r="O325" i="7"/>
  <c r="AL28" i="8"/>
  <c r="AL27" i="8" s="1"/>
  <c r="AL21" i="8"/>
  <c r="M71" i="9"/>
  <c r="J71" i="9"/>
  <c r="E23" i="6"/>
  <c r="E47" i="6"/>
  <c r="L275" i="7"/>
  <c r="E275" i="7"/>
  <c r="B275" i="7" s="1"/>
  <c r="I275" i="7"/>
  <c r="N325" i="7"/>
  <c r="AI30" i="8"/>
  <c r="AI5" i="8"/>
  <c r="AI8" i="8"/>
  <c r="AI58" i="8"/>
  <c r="H271" i="7"/>
  <c r="E271" i="7"/>
  <c r="B271" i="7" s="1"/>
  <c r="E273" i="7"/>
  <c r="B273" i="7" s="1"/>
  <c r="N331" i="7"/>
  <c r="O331" i="7"/>
  <c r="Q58" i="8"/>
  <c r="Q30" i="8"/>
  <c r="Q8" i="8"/>
  <c r="AQ8" i="8"/>
  <c r="AQ58" i="8"/>
  <c r="AQ5" i="8"/>
  <c r="AQ30" i="8"/>
  <c r="AB64" i="8"/>
  <c r="AB63" i="8" s="1"/>
  <c r="AB59" i="8" s="1"/>
  <c r="AB36" i="8"/>
  <c r="AB38" i="8" s="1"/>
  <c r="AB40" i="8" s="1"/>
  <c r="AB34" i="8" s="1"/>
  <c r="AB44" i="8" s="1"/>
  <c r="AB49" i="8" s="1"/>
  <c r="L272" i="7"/>
  <c r="F272" i="7"/>
  <c r="E272" i="7"/>
  <c r="B272" i="7"/>
  <c r="AD36" i="8"/>
  <c r="AD38" i="8" s="1"/>
  <c r="AD40" i="8" s="1"/>
  <c r="AD34" i="8" s="1"/>
  <c r="AD25" i="8"/>
  <c r="AD29" i="8" s="1"/>
  <c r="AD64" i="8"/>
  <c r="AD63" i="8" s="1"/>
  <c r="AD59" i="8" s="1"/>
  <c r="L273" i="7"/>
  <c r="I273" i="7"/>
  <c r="H273" i="7"/>
  <c r="S30" i="8"/>
  <c r="S5" i="8"/>
  <c r="S8" i="8"/>
  <c r="I274" i="7"/>
  <c r="L274" i="7"/>
  <c r="N320" i="7"/>
  <c r="N338" i="7"/>
  <c r="O338" i="7"/>
  <c r="H283" i="7"/>
  <c r="I283" i="7"/>
  <c r="X30" i="8"/>
  <c r="X5" i="8"/>
  <c r="X58" i="8"/>
  <c r="X7" i="8"/>
  <c r="X8" i="8" s="1"/>
  <c r="O334" i="7"/>
  <c r="N337" i="7"/>
  <c r="Z30" i="8"/>
  <c r="Z8" i="8"/>
  <c r="Z58" i="8"/>
  <c r="Z5" i="8"/>
  <c r="F269" i="7"/>
  <c r="L269" i="7"/>
  <c r="I269" i="7"/>
  <c r="B269" i="7"/>
  <c r="O327" i="7"/>
  <c r="AK5" i="8"/>
  <c r="AK7" i="8"/>
  <c r="AK8" i="8" s="1"/>
  <c r="J7" i="8"/>
  <c r="J36" i="8"/>
  <c r="J38" i="8" s="1"/>
  <c r="J40" i="8" s="1"/>
  <c r="J34" i="8" s="1"/>
  <c r="J8" i="8"/>
  <c r="AL30" i="8"/>
  <c r="AL7" i="8"/>
  <c r="AL8" i="8" s="1"/>
  <c r="H267" i="7"/>
  <c r="E267" i="7"/>
  <c r="B267" i="7" s="1"/>
  <c r="R58" i="8"/>
  <c r="R8" i="8"/>
  <c r="R30" i="8"/>
  <c r="R5" i="8"/>
  <c r="AR58" i="8"/>
  <c r="AR5" i="8"/>
  <c r="N332" i="7"/>
  <c r="T58" i="8"/>
  <c r="T7" i="8"/>
  <c r="T8" i="8" s="1"/>
  <c r="J5" i="8"/>
  <c r="N321" i="7"/>
  <c r="N335" i="7"/>
  <c r="W7" i="8"/>
  <c r="W8" i="8" s="1"/>
  <c r="W5" i="8"/>
  <c r="W58" i="8"/>
  <c r="D290" i="7"/>
  <c r="D268" i="7"/>
  <c r="D276" i="7"/>
  <c r="D284" i="7"/>
  <c r="N333" i="7"/>
  <c r="D262" i="7"/>
  <c r="D286" i="7"/>
  <c r="AB20" i="8"/>
  <c r="AB21" i="8"/>
  <c r="D263" i="7"/>
  <c r="D287" i="7"/>
  <c r="AE7" i="8"/>
  <c r="AE21" i="8" s="1"/>
  <c r="AA8" i="8"/>
  <c r="AB30" i="8"/>
  <c r="AB58" i="8"/>
  <c r="AJ3" i="8"/>
  <c r="N3" i="8"/>
  <c r="AH3" i="8"/>
  <c r="L3" i="8"/>
  <c r="AF3" i="8"/>
  <c r="I3" i="8"/>
  <c r="AG3" i="8"/>
  <c r="E289" i="7" l="1"/>
  <c r="F160" i="7"/>
  <c r="B160" i="7" s="1"/>
  <c r="F22" i="7"/>
  <c r="G161" i="7"/>
  <c r="F161" i="7"/>
  <c r="H161" i="7"/>
  <c r="I64" i="7"/>
  <c r="H289" i="7"/>
  <c r="G43" i="7"/>
  <c r="F43" i="7"/>
  <c r="F289" i="7"/>
  <c r="H137" i="7"/>
  <c r="G264" i="7" s="1"/>
  <c r="G158" i="7"/>
  <c r="F158" i="7"/>
  <c r="B158" i="7" s="1"/>
  <c r="F61" i="7"/>
  <c r="G38" i="7"/>
  <c r="G156" i="7"/>
  <c r="H158" i="7"/>
  <c r="M158" i="7" s="1"/>
  <c r="H156" i="7"/>
  <c r="M156" i="7" s="1"/>
  <c r="G46" i="7"/>
  <c r="F28" i="7"/>
  <c r="J64" i="7"/>
  <c r="I23" i="7" s="1"/>
  <c r="H119" i="7"/>
  <c r="J118" i="7"/>
  <c r="H61" i="7"/>
  <c r="E20" i="7" s="1"/>
  <c r="E283" i="7"/>
  <c r="L283" i="7"/>
  <c r="F283" i="7"/>
  <c r="B283" i="7"/>
  <c r="G18" i="7"/>
  <c r="B161" i="7"/>
  <c r="F64" i="7"/>
  <c r="I289" i="7"/>
  <c r="F137" i="7"/>
  <c r="B137" i="7" s="1"/>
  <c r="F42" i="7"/>
  <c r="H153" i="7"/>
  <c r="F155" i="7"/>
  <c r="B155" i="7" s="1"/>
  <c r="H135" i="7"/>
  <c r="G135" i="7"/>
  <c r="J61" i="7"/>
  <c r="H20" i="7" s="1"/>
  <c r="H145" i="7"/>
  <c r="G272" i="7" s="1"/>
  <c r="G61" i="7"/>
  <c r="F37" i="7"/>
  <c r="F135" i="7"/>
  <c r="B135" i="7" s="1"/>
  <c r="B285" i="7"/>
  <c r="G64" i="7"/>
  <c r="G25" i="7"/>
  <c r="F25" i="7"/>
  <c r="B289" i="7"/>
  <c r="H160" i="7"/>
  <c r="G287" i="7" s="1"/>
  <c r="H155" i="7"/>
  <c r="G282" i="7" s="1"/>
  <c r="F145" i="7"/>
  <c r="B145" i="7" s="1"/>
  <c r="I61" i="7"/>
  <c r="I264" i="7"/>
  <c r="F264" i="7"/>
  <c r="I115" i="11"/>
  <c r="AB48" i="8"/>
  <c r="T25" i="8"/>
  <c r="T36" i="8"/>
  <c r="T38" i="8" s="1"/>
  <c r="T40" i="8" s="1"/>
  <c r="T34" i="8" s="1"/>
  <c r="T64" i="8"/>
  <c r="T63" i="8" s="1"/>
  <c r="T59" i="8" s="1"/>
  <c r="M25" i="8"/>
  <c r="M36" i="8"/>
  <c r="M38" i="8" s="1"/>
  <c r="M40" i="8" s="1"/>
  <c r="M34" i="8" s="1"/>
  <c r="M64" i="8"/>
  <c r="M63" i="8" s="1"/>
  <c r="M59" i="8" s="1"/>
  <c r="O25" i="8"/>
  <c r="O36" i="8"/>
  <c r="O38" i="8" s="1"/>
  <c r="O40" i="8" s="1"/>
  <c r="O34" i="8" s="1"/>
  <c r="O64" i="8"/>
  <c r="O63" i="8" s="1"/>
  <c r="O59" i="8" s="1"/>
  <c r="K36" i="8"/>
  <c r="K38" i="8" s="1"/>
  <c r="K40" i="8" s="1"/>
  <c r="K34" i="8" s="1"/>
  <c r="K25" i="8"/>
  <c r="K64" i="8"/>
  <c r="K63" i="8" s="1"/>
  <c r="K59" i="8" s="1"/>
  <c r="AP64" i="8"/>
  <c r="AP63" i="8" s="1"/>
  <c r="AP59" i="8" s="1"/>
  <c r="AP25" i="8"/>
  <c r="AP36" i="8"/>
  <c r="AP38" i="8" s="1"/>
  <c r="AP40" i="8" s="1"/>
  <c r="AP34" i="8" s="1"/>
  <c r="AO64" i="8"/>
  <c r="AO63" i="8" s="1"/>
  <c r="AO59" i="8" s="1"/>
  <c r="AO25" i="8"/>
  <c r="AO36" i="8"/>
  <c r="AO38" i="8" s="1"/>
  <c r="AO40" i="8" s="1"/>
  <c r="AO34" i="8" s="1"/>
  <c r="K62" i="7"/>
  <c r="I21" i="7" s="1"/>
  <c r="H62" i="7"/>
  <c r="E21" i="7" s="1"/>
  <c r="F62" i="7"/>
  <c r="J62" i="7"/>
  <c r="H21" i="7" s="1"/>
  <c r="I62" i="7"/>
  <c r="G62" i="7"/>
  <c r="F77" i="6"/>
  <c r="C77" i="6" s="1"/>
  <c r="C36" i="6"/>
  <c r="O36" i="6"/>
  <c r="O77" i="6" s="1"/>
  <c r="N36" i="6"/>
  <c r="N77" i="6" s="1"/>
  <c r="AI57" i="8"/>
  <c r="F184" i="6"/>
  <c r="C184" i="6"/>
  <c r="G184" i="6"/>
  <c r="H74" i="7"/>
  <c r="E33" i="7" s="1"/>
  <c r="K74" i="7"/>
  <c r="I33" i="7" s="1"/>
  <c r="I74" i="7"/>
  <c r="G74" i="7"/>
  <c r="F74" i="7"/>
  <c r="J74" i="7"/>
  <c r="Y44" i="8"/>
  <c r="Y50" i="8" s="1"/>
  <c r="G152" i="7"/>
  <c r="H152" i="7"/>
  <c r="F152" i="7"/>
  <c r="B152" i="7"/>
  <c r="G177" i="6"/>
  <c r="H154" i="7"/>
  <c r="F154" i="7"/>
  <c r="G154" i="7"/>
  <c r="B154" i="7"/>
  <c r="Z20" i="8"/>
  <c r="Z28" i="8"/>
  <c r="Z27" i="8" s="1"/>
  <c r="Z21" i="8"/>
  <c r="AI28" i="8"/>
  <c r="AI27" i="8" s="1"/>
  <c r="AI21" i="8"/>
  <c r="AI20" i="8"/>
  <c r="K58" i="7"/>
  <c r="I58" i="7"/>
  <c r="H58" i="7"/>
  <c r="G58" i="7"/>
  <c r="J58" i="7"/>
  <c r="H17" i="7" s="1"/>
  <c r="F58" i="7"/>
  <c r="H47" i="7"/>
  <c r="H37" i="7"/>
  <c r="I37" i="7"/>
  <c r="AG58" i="8"/>
  <c r="AG30" i="8"/>
  <c r="AG7" i="8"/>
  <c r="AG8" i="8"/>
  <c r="AG5" i="8"/>
  <c r="H149" i="7"/>
  <c r="G149" i="7"/>
  <c r="F149" i="7"/>
  <c r="B149" i="7"/>
  <c r="N27" i="6"/>
  <c r="N68" i="6" s="1"/>
  <c r="O43" i="6"/>
  <c r="O84" i="6" s="1"/>
  <c r="L286" i="7"/>
  <c r="I286" i="7"/>
  <c r="H286" i="7"/>
  <c r="F286" i="7"/>
  <c r="E286" i="7"/>
  <c r="B286" i="7" s="1"/>
  <c r="F44" i="6"/>
  <c r="O44" i="6"/>
  <c r="O85" i="6" s="1"/>
  <c r="N44" i="6"/>
  <c r="N85" i="6" s="1"/>
  <c r="G44" i="6"/>
  <c r="G85" i="6" s="1"/>
  <c r="O33" i="6"/>
  <c r="O74" i="6" s="1"/>
  <c r="I31" i="7"/>
  <c r="H31" i="7"/>
  <c r="J31" i="7" s="1"/>
  <c r="F31" i="7"/>
  <c r="G31" i="7"/>
  <c r="N53" i="6"/>
  <c r="N94" i="6" s="1"/>
  <c r="AD72" i="8"/>
  <c r="AD67" i="8"/>
  <c r="AD71" i="8" s="1"/>
  <c r="AD70" i="8" s="1"/>
  <c r="G201" i="6"/>
  <c r="K86" i="7"/>
  <c r="I45" i="7" s="1"/>
  <c r="I86" i="7"/>
  <c r="H86" i="7"/>
  <c r="E45" i="7" s="1"/>
  <c r="J86" i="7"/>
  <c r="G86" i="7"/>
  <c r="F86" i="7"/>
  <c r="F92" i="6"/>
  <c r="C51" i="6"/>
  <c r="AE8" i="8"/>
  <c r="O21" i="6"/>
  <c r="G21" i="6"/>
  <c r="G62" i="6" s="1"/>
  <c r="F21" i="6"/>
  <c r="F62" i="6" s="1"/>
  <c r="C21" i="6"/>
  <c r="G181" i="6"/>
  <c r="F181" i="6"/>
  <c r="C181" i="6" s="1"/>
  <c r="F91" i="7"/>
  <c r="K91" i="7"/>
  <c r="I91" i="7"/>
  <c r="G91" i="7"/>
  <c r="J91" i="7"/>
  <c r="H50" i="7" s="1"/>
  <c r="H91" i="7"/>
  <c r="E50" i="7" s="1"/>
  <c r="H48" i="7"/>
  <c r="H150" i="7"/>
  <c r="F150" i="7"/>
  <c r="B150" i="7" s="1"/>
  <c r="G150" i="7"/>
  <c r="O28" i="6"/>
  <c r="O69" i="6" s="1"/>
  <c r="G210" i="6"/>
  <c r="C66" i="6"/>
  <c r="M148" i="7"/>
  <c r="G275" i="7"/>
  <c r="H36" i="7"/>
  <c r="N51" i="6"/>
  <c r="N92" i="6" s="1"/>
  <c r="Q113" i="11"/>
  <c r="H287" i="7"/>
  <c r="E287" i="7"/>
  <c r="B287" i="7" s="1"/>
  <c r="I287" i="7"/>
  <c r="F287" i="7"/>
  <c r="L287" i="7"/>
  <c r="I48" i="7"/>
  <c r="F177" i="6"/>
  <c r="C177" i="6" s="1"/>
  <c r="AM28" i="8"/>
  <c r="AM27" i="8" s="1"/>
  <c r="AM21" i="8"/>
  <c r="AM20" i="8"/>
  <c r="I36" i="7"/>
  <c r="O51" i="6"/>
  <c r="O92" i="6" s="1"/>
  <c r="Q119" i="11"/>
  <c r="T67" i="8"/>
  <c r="T71" i="8"/>
  <c r="T70" i="8" s="1"/>
  <c r="T57" i="8"/>
  <c r="AI36" i="8"/>
  <c r="AI38" i="8" s="1"/>
  <c r="AI40" i="8" s="1"/>
  <c r="AI34" i="8" s="1"/>
  <c r="AI64" i="8"/>
  <c r="AI63" i="8" s="1"/>
  <c r="AI59" i="8" s="1"/>
  <c r="AI67" i="8" s="1"/>
  <c r="AI71" i="8" s="1"/>
  <c r="AI70" i="8" s="1"/>
  <c r="AI25" i="8"/>
  <c r="M160" i="7"/>
  <c r="F78" i="6"/>
  <c r="C37" i="6"/>
  <c r="F65" i="6"/>
  <c r="F174" i="6" s="1"/>
  <c r="C174" i="6" s="1"/>
  <c r="O24" i="6"/>
  <c r="O65" i="6" s="1"/>
  <c r="Q108" i="11" s="1"/>
  <c r="Q109" i="11"/>
  <c r="J59" i="7"/>
  <c r="F59" i="7"/>
  <c r="H59" i="7"/>
  <c r="E18" i="7" s="1"/>
  <c r="G59" i="7"/>
  <c r="I59" i="7"/>
  <c r="K59" i="7"/>
  <c r="I18" i="7" s="1"/>
  <c r="H141" i="7"/>
  <c r="F141" i="7"/>
  <c r="B141" i="7" s="1"/>
  <c r="G141" i="7"/>
  <c r="AO67" i="8"/>
  <c r="AO71" i="8" s="1"/>
  <c r="AO70" i="8" s="1"/>
  <c r="AO57" i="8"/>
  <c r="N24" i="6"/>
  <c r="N65" i="6" s="1"/>
  <c r="Q111" i="11"/>
  <c r="N43" i="6"/>
  <c r="N84" i="6" s="1"/>
  <c r="AR20" i="8"/>
  <c r="AR21" i="8"/>
  <c r="AR28" i="8"/>
  <c r="AR27" i="8" s="1"/>
  <c r="Z67" i="8"/>
  <c r="Z71" i="8" s="1"/>
  <c r="Z70" i="8" s="1"/>
  <c r="I17" i="7"/>
  <c r="G17" i="7"/>
  <c r="F17" i="7"/>
  <c r="E353" i="7"/>
  <c r="J81" i="7"/>
  <c r="H40" i="7" s="1"/>
  <c r="I81" i="7"/>
  <c r="H81" i="7"/>
  <c r="E40" i="7" s="1"/>
  <c r="G81" i="7"/>
  <c r="F81" i="7"/>
  <c r="K81" i="7"/>
  <c r="I40" i="7" s="1"/>
  <c r="AE20" i="8"/>
  <c r="H167" i="7"/>
  <c r="G167" i="7"/>
  <c r="F167" i="7"/>
  <c r="B167" i="7"/>
  <c r="C70" i="6"/>
  <c r="AM67" i="8"/>
  <c r="AM71" i="8"/>
  <c r="AM70" i="8" s="1"/>
  <c r="O20" i="8"/>
  <c r="O21" i="8"/>
  <c r="O28" i="8"/>
  <c r="O27" i="8" s="1"/>
  <c r="C24" i="6"/>
  <c r="I5" i="8"/>
  <c r="I7" i="8"/>
  <c r="I8" i="8" s="1"/>
  <c r="AD57" i="8"/>
  <c r="AR57" i="8"/>
  <c r="AR67" i="8"/>
  <c r="AR72" i="8" s="1"/>
  <c r="Z36" i="8"/>
  <c r="Z38" i="8" s="1"/>
  <c r="Z40" i="8" s="1"/>
  <c r="Z34" i="8" s="1"/>
  <c r="Z64" i="8"/>
  <c r="Z63" i="8" s="1"/>
  <c r="Z59" i="8" s="1"/>
  <c r="Z25" i="8"/>
  <c r="G182" i="6"/>
  <c r="F182" i="6"/>
  <c r="C182" i="6" s="1"/>
  <c r="G179" i="6"/>
  <c r="F179" i="6"/>
  <c r="C179" i="6"/>
  <c r="H30" i="7"/>
  <c r="I30" i="7"/>
  <c r="F30" i="7"/>
  <c r="G30" i="7"/>
  <c r="AE28" i="8"/>
  <c r="AE27" i="8" s="1"/>
  <c r="C69" i="6"/>
  <c r="K28" i="8"/>
  <c r="K27" i="8" s="1"/>
  <c r="K21" i="8"/>
  <c r="K20" i="8"/>
  <c r="F214" i="6"/>
  <c r="C214" i="6" s="1"/>
  <c r="AP21" i="8"/>
  <c r="AP20" i="8"/>
  <c r="AP28" i="8"/>
  <c r="AP27" i="8" s="1"/>
  <c r="Q120" i="11"/>
  <c r="O53" i="6"/>
  <c r="O94" i="6" s="1"/>
  <c r="AF8" i="8"/>
  <c r="AF30" i="8"/>
  <c r="AF58" i="8"/>
  <c r="AF5" i="8"/>
  <c r="AF7" i="8"/>
  <c r="R21" i="8"/>
  <c r="R28" i="8"/>
  <c r="R27" i="8" s="1"/>
  <c r="R20" i="8"/>
  <c r="S36" i="8"/>
  <c r="S38" i="8" s="1"/>
  <c r="S40" i="8" s="1"/>
  <c r="S34" i="8" s="1"/>
  <c r="S25" i="8"/>
  <c r="S64" i="8"/>
  <c r="S63" i="8" s="1"/>
  <c r="S59" i="8" s="1"/>
  <c r="G151" i="7"/>
  <c r="H151" i="7"/>
  <c r="F151" i="7"/>
  <c r="B151" i="7" s="1"/>
  <c r="O27" i="6"/>
  <c r="O68" i="6" s="1"/>
  <c r="N152" i="6"/>
  <c r="I28" i="7"/>
  <c r="Q118" i="11"/>
  <c r="L7" i="8"/>
  <c r="L8" i="8" s="1"/>
  <c r="L58" i="8"/>
  <c r="L5" i="8"/>
  <c r="L30" i="8"/>
  <c r="I262" i="7"/>
  <c r="H262" i="7"/>
  <c r="F262" i="7"/>
  <c r="L262" i="7"/>
  <c r="E262" i="7"/>
  <c r="B262" i="7" s="1"/>
  <c r="S21" i="8"/>
  <c r="S20" i="8"/>
  <c r="S28" i="8"/>
  <c r="S27" i="8" s="1"/>
  <c r="G38" i="6"/>
  <c r="G79" i="6" s="1"/>
  <c r="G207" i="6" s="1"/>
  <c r="F38" i="6"/>
  <c r="F79" i="6" s="1"/>
  <c r="F207" i="6" s="1"/>
  <c r="C207" i="6" s="1"/>
  <c r="H32" i="7"/>
  <c r="F32" i="7"/>
  <c r="I32" i="7"/>
  <c r="G32" i="7"/>
  <c r="F178" i="6"/>
  <c r="C178" i="6" s="1"/>
  <c r="Y57" i="8"/>
  <c r="Y67" i="8"/>
  <c r="Y71" i="8" s="1"/>
  <c r="Y70" i="8" s="1"/>
  <c r="F134" i="7"/>
  <c r="B134" i="7"/>
  <c r="H134" i="7"/>
  <c r="G134" i="7"/>
  <c r="AP57" i="8"/>
  <c r="O152" i="6"/>
  <c r="H28" i="7"/>
  <c r="G212" i="6"/>
  <c r="H44" i="7"/>
  <c r="AD44" i="8"/>
  <c r="AD50" i="8" s="1"/>
  <c r="J117" i="11" s="1"/>
  <c r="C53" i="6"/>
  <c r="T20" i="8"/>
  <c r="T21" i="8"/>
  <c r="T28" i="8"/>
  <c r="T27" i="8" s="1"/>
  <c r="E263" i="7"/>
  <c r="I263" i="7"/>
  <c r="H263" i="7"/>
  <c r="F263" i="7"/>
  <c r="B263" i="7"/>
  <c r="L263" i="7"/>
  <c r="H76" i="7"/>
  <c r="E35" i="7" s="1"/>
  <c r="I76" i="7"/>
  <c r="G76" i="7"/>
  <c r="F76" i="7"/>
  <c r="K76" i="7"/>
  <c r="J76" i="7"/>
  <c r="AM64" i="8"/>
  <c r="AM63" i="8" s="1"/>
  <c r="AM59" i="8" s="1"/>
  <c r="AM25" i="8"/>
  <c r="AM36" i="8"/>
  <c r="AM38" i="8" s="1"/>
  <c r="AM40" i="8" s="1"/>
  <c r="AM34" i="8" s="1"/>
  <c r="AC28" i="8"/>
  <c r="AC27" i="8" s="1"/>
  <c r="AC20" i="8"/>
  <c r="AC21" i="8"/>
  <c r="AC36" i="8"/>
  <c r="AC38" i="8" s="1"/>
  <c r="AC40" i="8" s="1"/>
  <c r="AC34" i="8" s="1"/>
  <c r="AC25" i="8"/>
  <c r="AC64" i="8"/>
  <c r="AC63" i="8" s="1"/>
  <c r="AC59" i="8" s="1"/>
  <c r="AH30" i="8"/>
  <c r="AH8" i="8"/>
  <c r="AH5" i="8"/>
  <c r="AH58" i="8"/>
  <c r="AH7" i="8"/>
  <c r="R36" i="8"/>
  <c r="R38" i="8" s="1"/>
  <c r="R40" i="8" s="1"/>
  <c r="R34" i="8" s="1"/>
  <c r="R25" i="8"/>
  <c r="R64" i="8"/>
  <c r="R63" i="8" s="1"/>
  <c r="R59" i="8" s="1"/>
  <c r="AB51" i="8"/>
  <c r="K115" i="11" s="1"/>
  <c r="G30" i="6"/>
  <c r="G71" i="6" s="1"/>
  <c r="G180" i="6" s="1"/>
  <c r="F30" i="6"/>
  <c r="C30" i="6"/>
  <c r="F74" i="6"/>
  <c r="C74" i="6" s="1"/>
  <c r="N33" i="6"/>
  <c r="N74" i="6" s="1"/>
  <c r="I34" i="7"/>
  <c r="H34" i="7"/>
  <c r="G34" i="7"/>
  <c r="F34" i="7"/>
  <c r="F157" i="7"/>
  <c r="B157" i="7" s="1"/>
  <c r="H157" i="7"/>
  <c r="G157" i="7"/>
  <c r="G60" i="7"/>
  <c r="F60" i="7"/>
  <c r="K60" i="7"/>
  <c r="J60" i="7"/>
  <c r="I60" i="7"/>
  <c r="H60" i="7"/>
  <c r="E19" i="7" s="1"/>
  <c r="H163" i="7"/>
  <c r="F163" i="7"/>
  <c r="G163" i="7"/>
  <c r="B163" i="7"/>
  <c r="G203" i="6"/>
  <c r="F203" i="6"/>
  <c r="C203" i="6" s="1"/>
  <c r="I164" i="7"/>
  <c r="H164" i="7"/>
  <c r="G164" i="7"/>
  <c r="F164" i="7"/>
  <c r="B164" i="7" s="1"/>
  <c r="F210" i="6"/>
  <c r="C210" i="6" s="1"/>
  <c r="G211" i="6"/>
  <c r="F211" i="6"/>
  <c r="C211" i="6" s="1"/>
  <c r="H143" i="3"/>
  <c r="N45" i="6"/>
  <c r="N86" i="6" s="1"/>
  <c r="C45" i="6"/>
  <c r="O45" i="6"/>
  <c r="O86" i="6" s="1"/>
  <c r="Q122" i="11" s="1"/>
  <c r="G45" i="6"/>
  <c r="G86" i="6" s="1"/>
  <c r="F45" i="6"/>
  <c r="F86" i="6" s="1"/>
  <c r="G19" i="7"/>
  <c r="F19" i="7"/>
  <c r="I19" i="7"/>
  <c r="H19" i="7"/>
  <c r="J19" i="7" s="1"/>
  <c r="J68" i="7"/>
  <c r="I68" i="7"/>
  <c r="K68" i="7"/>
  <c r="H68" i="7"/>
  <c r="E27" i="7" s="1"/>
  <c r="G68" i="7"/>
  <c r="F68" i="7"/>
  <c r="G165" i="7"/>
  <c r="H165" i="7"/>
  <c r="F165" i="7"/>
  <c r="B165" i="7" s="1"/>
  <c r="N28" i="6"/>
  <c r="N69" i="6" s="1"/>
  <c r="C86" i="6"/>
  <c r="N7" i="8"/>
  <c r="N30" i="8"/>
  <c r="N58" i="8"/>
  <c r="N8" i="8"/>
  <c r="N5" i="8"/>
  <c r="G23" i="7"/>
  <c r="F23" i="7"/>
  <c r="U36" i="8"/>
  <c r="U38" i="8" s="1"/>
  <c r="U40" i="8" s="1"/>
  <c r="U34" i="8" s="1"/>
  <c r="U64" i="8"/>
  <c r="U63" i="8" s="1"/>
  <c r="U59" i="8" s="1"/>
  <c r="U25" i="8"/>
  <c r="K71" i="8"/>
  <c r="K70" i="8" s="1"/>
  <c r="K67" i="8"/>
  <c r="K57" i="8"/>
  <c r="P64" i="8"/>
  <c r="P63" i="8" s="1"/>
  <c r="P59" i="8" s="1"/>
  <c r="P57" i="8" s="1"/>
  <c r="P25" i="8"/>
  <c r="P36" i="8"/>
  <c r="P38" i="8" s="1"/>
  <c r="P40" i="8" s="1"/>
  <c r="P34" i="8" s="1"/>
  <c r="G200" i="6"/>
  <c r="Q110" i="11"/>
  <c r="AB72" i="8"/>
  <c r="F50" i="7"/>
  <c r="G50" i="7"/>
  <c r="G159" i="7"/>
  <c r="H159" i="7"/>
  <c r="F159" i="7"/>
  <c r="B159" i="7"/>
  <c r="P21" i="8"/>
  <c r="P20" i="8"/>
  <c r="P28" i="8"/>
  <c r="P27" i="8" s="1"/>
  <c r="V25" i="8"/>
  <c r="V64" i="8"/>
  <c r="V63" i="8" s="1"/>
  <c r="V59" i="8" s="1"/>
  <c r="V36" i="8"/>
  <c r="V38" i="8" s="1"/>
  <c r="V40" i="8" s="1"/>
  <c r="V34" i="8" s="1"/>
  <c r="Q121" i="11"/>
  <c r="F66" i="6"/>
  <c r="C25" i="6"/>
  <c r="X36" i="8"/>
  <c r="X38" i="8" s="1"/>
  <c r="X40" i="8" s="1"/>
  <c r="X34" i="8" s="1"/>
  <c r="X64" i="8"/>
  <c r="X63" i="8" s="1"/>
  <c r="X59" i="8" s="1"/>
  <c r="X25" i="8"/>
  <c r="F24" i="7"/>
  <c r="I24" i="7"/>
  <c r="H24" i="7"/>
  <c r="J24" i="7" s="1"/>
  <c r="G24" i="7"/>
  <c r="F186" i="6"/>
  <c r="G186" i="6"/>
  <c r="C186" i="6"/>
  <c r="H166" i="7"/>
  <c r="G166" i="7"/>
  <c r="F166" i="7"/>
  <c r="B166" i="7" s="1"/>
  <c r="H146" i="7"/>
  <c r="F146" i="7"/>
  <c r="B146" i="7"/>
  <c r="G146" i="7"/>
  <c r="I39" i="7"/>
  <c r="G185" i="6"/>
  <c r="F276" i="7"/>
  <c r="E276" i="7"/>
  <c r="B276" i="7"/>
  <c r="I276" i="7"/>
  <c r="L276" i="7"/>
  <c r="H276" i="7"/>
  <c r="AL36" i="8"/>
  <c r="AL38" i="8" s="1"/>
  <c r="AL40" i="8" s="1"/>
  <c r="AL34" i="8" s="1"/>
  <c r="AL64" i="8"/>
  <c r="AL63" i="8" s="1"/>
  <c r="AL59" i="8" s="1"/>
  <c r="AL25" i="8"/>
  <c r="G47" i="6"/>
  <c r="G88" i="6" s="1"/>
  <c r="F47" i="6"/>
  <c r="F88" i="6" s="1"/>
  <c r="C88" i="6" s="1"/>
  <c r="C47" i="6"/>
  <c r="O47" i="6"/>
  <c r="O88" i="6" s="1"/>
  <c r="N47" i="6"/>
  <c r="N88" i="6" s="1"/>
  <c r="C202" i="6"/>
  <c r="G202" i="6"/>
  <c r="F202" i="6"/>
  <c r="K83" i="7"/>
  <c r="G83" i="7"/>
  <c r="F83" i="7"/>
  <c r="J83" i="7"/>
  <c r="H42" i="7" s="1"/>
  <c r="I83" i="7"/>
  <c r="H83" i="7"/>
  <c r="E42" i="7" s="1"/>
  <c r="F26" i="7"/>
  <c r="G26" i="7"/>
  <c r="U21" i="8"/>
  <c r="U20" i="8"/>
  <c r="U28" i="8"/>
  <c r="U27" i="8" s="1"/>
  <c r="F188" i="6"/>
  <c r="C188" i="6" s="1"/>
  <c r="H139" i="7"/>
  <c r="G139" i="7"/>
  <c r="F139" i="7"/>
  <c r="B139" i="7" s="1"/>
  <c r="C78" i="6"/>
  <c r="G209" i="6"/>
  <c r="H39" i="7"/>
  <c r="H41" i="7"/>
  <c r="G274" i="7"/>
  <c r="M147" i="7"/>
  <c r="F185" i="6"/>
  <c r="C185" i="6" s="1"/>
  <c r="I50" i="8"/>
  <c r="I49" i="8"/>
  <c r="X28" i="8"/>
  <c r="X27" i="8" s="1"/>
  <c r="X20" i="8"/>
  <c r="X21" i="8"/>
  <c r="G23" i="6"/>
  <c r="G64" i="6" s="1"/>
  <c r="G199" i="6" s="1"/>
  <c r="F23" i="6"/>
  <c r="K84" i="7"/>
  <c r="G84" i="7"/>
  <c r="J84" i="7"/>
  <c r="H43" i="7" s="1"/>
  <c r="I84" i="7"/>
  <c r="H84" i="7"/>
  <c r="E43" i="7" s="1"/>
  <c r="F84" i="7"/>
  <c r="U57" i="8"/>
  <c r="F140" i="7"/>
  <c r="B140" i="7"/>
  <c r="H140" i="7"/>
  <c r="G140" i="7"/>
  <c r="C79" i="6"/>
  <c r="AN21" i="8"/>
  <c r="AN28" i="8"/>
  <c r="AN27" i="8" s="1"/>
  <c r="AN20" i="8"/>
  <c r="V67" i="8"/>
  <c r="V71" i="8"/>
  <c r="V70" i="8" s="1"/>
  <c r="V57" i="8"/>
  <c r="G178" i="6"/>
  <c r="I51" i="8"/>
  <c r="AB57" i="8"/>
  <c r="AB67" i="8"/>
  <c r="AB71" i="8" s="1"/>
  <c r="AB70" i="8" s="1"/>
  <c r="H290" i="7"/>
  <c r="F290" i="7"/>
  <c r="L290" i="7"/>
  <c r="I290" i="7"/>
  <c r="E290" i="7"/>
  <c r="B290" i="7"/>
  <c r="AQ64" i="8"/>
  <c r="AQ63" i="8" s="1"/>
  <c r="AQ59" i="8" s="1"/>
  <c r="AQ67" i="8" s="1"/>
  <c r="AQ71" i="8" s="1"/>
  <c r="AQ70" i="8" s="1"/>
  <c r="AQ25" i="8"/>
  <c r="AQ36" i="8"/>
  <c r="AQ38" i="8" s="1"/>
  <c r="AQ40" i="8" s="1"/>
  <c r="AQ34" i="8" s="1"/>
  <c r="C205" i="6"/>
  <c r="G205" i="6"/>
  <c r="F205" i="6"/>
  <c r="C81" i="6"/>
  <c r="AN36" i="8"/>
  <c r="AN38" i="8" s="1"/>
  <c r="AN40" i="8" s="1"/>
  <c r="AN34" i="8" s="1"/>
  <c r="AN64" i="8"/>
  <c r="AN63" i="8" s="1"/>
  <c r="AN59" i="8" s="1"/>
  <c r="AN25" i="8"/>
  <c r="G208" i="6"/>
  <c r="V28" i="8"/>
  <c r="V27" i="8" s="1"/>
  <c r="V21" i="8"/>
  <c r="V20" i="8"/>
  <c r="G280" i="7"/>
  <c r="M153" i="7"/>
  <c r="H22" i="7"/>
  <c r="J22" i="7" s="1"/>
  <c r="F209" i="6"/>
  <c r="C209" i="6" s="1"/>
  <c r="Q117" i="11"/>
  <c r="N48" i="6"/>
  <c r="N89" i="6" s="1"/>
  <c r="AB50" i="8"/>
  <c r="J115" i="11" s="1"/>
  <c r="J44" i="8"/>
  <c r="J51" i="8" s="1"/>
  <c r="Q36" i="8"/>
  <c r="Q38" i="8" s="1"/>
  <c r="Q40" i="8" s="1"/>
  <c r="Q34" i="8" s="1"/>
  <c r="Q44" i="8" s="1"/>
  <c r="Q25" i="8"/>
  <c r="Q64" i="8"/>
  <c r="Q63" i="8" s="1"/>
  <c r="Q59" i="8" s="1"/>
  <c r="I87" i="7"/>
  <c r="J87" i="7"/>
  <c r="G87" i="7"/>
  <c r="F87" i="7"/>
  <c r="H87" i="7"/>
  <c r="E46" i="7" s="1"/>
  <c r="K87" i="7"/>
  <c r="I46" i="7" s="1"/>
  <c r="G49" i="7"/>
  <c r="H49" i="7"/>
  <c r="F49" i="7"/>
  <c r="I49" i="7"/>
  <c r="G187" i="6"/>
  <c r="G142" i="7"/>
  <c r="H142" i="7"/>
  <c r="F142" i="7"/>
  <c r="B142" i="7" s="1"/>
  <c r="F208" i="6"/>
  <c r="C208" i="6" s="1"/>
  <c r="I38" i="7"/>
  <c r="I22" i="7"/>
  <c r="AA36" i="8"/>
  <c r="AA38" i="8" s="1"/>
  <c r="AA40" i="8" s="1"/>
  <c r="AA34" i="8" s="1"/>
  <c r="AA64" i="8"/>
  <c r="AA63" i="8" s="1"/>
  <c r="AA59" i="8" s="1"/>
  <c r="AA25" i="8"/>
  <c r="W67" i="8"/>
  <c r="W71" i="8" s="1"/>
  <c r="W70" i="8" s="1"/>
  <c r="G213" i="6"/>
  <c r="J66" i="7"/>
  <c r="I66" i="7"/>
  <c r="H66" i="7"/>
  <c r="E25" i="7" s="1"/>
  <c r="G66" i="7"/>
  <c r="F66" i="7"/>
  <c r="K66" i="7"/>
  <c r="I25" i="7" s="1"/>
  <c r="G33" i="7"/>
  <c r="F33" i="7"/>
  <c r="H143" i="7"/>
  <c r="G143" i="7"/>
  <c r="F143" i="7"/>
  <c r="B143" i="7" s="1"/>
  <c r="N39" i="6"/>
  <c r="N80" i="6" s="1"/>
  <c r="F136" i="3"/>
  <c r="F141" i="3"/>
  <c r="F144" i="3" s="1"/>
  <c r="G175" i="6"/>
  <c r="F176" i="6"/>
  <c r="C176" i="6" s="1"/>
  <c r="N42" i="6"/>
  <c r="N83" i="6" s="1"/>
  <c r="J20" i="8"/>
  <c r="J21" i="8"/>
  <c r="G183" i="6"/>
  <c r="F183" i="6"/>
  <c r="C183" i="6"/>
  <c r="AJ58" i="8"/>
  <c r="AJ30" i="8"/>
  <c r="AJ7" i="8"/>
  <c r="AJ5" i="8"/>
  <c r="AJ8" i="8"/>
  <c r="B7" i="4"/>
  <c r="AQ21" i="8"/>
  <c r="AQ28" i="8"/>
  <c r="AQ27" i="8" s="1"/>
  <c r="AQ20" i="8"/>
  <c r="F268" i="7"/>
  <c r="L268" i="7"/>
  <c r="I268" i="7"/>
  <c r="H268" i="7"/>
  <c r="E268" i="7"/>
  <c r="B268" i="7" s="1"/>
  <c r="G204" i="6"/>
  <c r="F204" i="6"/>
  <c r="C204" i="6" s="1"/>
  <c r="G29" i="7"/>
  <c r="F29" i="7"/>
  <c r="I41" i="7"/>
  <c r="I85" i="7"/>
  <c r="G85" i="7"/>
  <c r="H85" i="7"/>
  <c r="E44" i="7" s="1"/>
  <c r="F85" i="7"/>
  <c r="K85" i="7"/>
  <c r="I44" i="7" s="1"/>
  <c r="J85" i="7"/>
  <c r="H27" i="7"/>
  <c r="F27" i="7"/>
  <c r="I27" i="7"/>
  <c r="G27" i="7"/>
  <c r="H138" i="7"/>
  <c r="F138" i="7"/>
  <c r="B138" i="7" s="1"/>
  <c r="G138" i="7"/>
  <c r="W21" i="8"/>
  <c r="W20" i="8"/>
  <c r="W28" i="8"/>
  <c r="W27" i="8" s="1"/>
  <c r="AK64" i="8"/>
  <c r="AK63" i="8" s="1"/>
  <c r="AK59" i="8" s="1"/>
  <c r="AK36" i="8"/>
  <c r="AK38" i="8" s="1"/>
  <c r="AK40" i="8" s="1"/>
  <c r="AK34" i="8" s="1"/>
  <c r="AK25" i="8"/>
  <c r="G198" i="6"/>
  <c r="F198" i="6"/>
  <c r="C198" i="6"/>
  <c r="K67" i="7"/>
  <c r="I67" i="7"/>
  <c r="F67" i="7"/>
  <c r="J67" i="7"/>
  <c r="H26" i="7" s="1"/>
  <c r="H67" i="7"/>
  <c r="E26" i="7" s="1"/>
  <c r="G67" i="7"/>
  <c r="G35" i="7"/>
  <c r="F35" i="7"/>
  <c r="G173" i="6"/>
  <c r="B144" i="7"/>
  <c r="H144" i="7"/>
  <c r="F144" i="7"/>
  <c r="G144" i="7"/>
  <c r="C67" i="6"/>
  <c r="O39" i="6"/>
  <c r="O80" i="6" s="1"/>
  <c r="Q116" i="11" s="1"/>
  <c r="G141" i="3"/>
  <c r="G144" i="3" s="1"/>
  <c r="G136" i="3"/>
  <c r="G176" i="6"/>
  <c r="M155" i="7"/>
  <c r="AO20" i="8"/>
  <c r="AO21" i="8"/>
  <c r="AO28" i="8"/>
  <c r="AO27" i="8" s="1"/>
  <c r="C52" i="6"/>
  <c r="G52" i="6"/>
  <c r="G93" i="6" s="1"/>
  <c r="F52" i="6"/>
  <c r="F93" i="6" s="1"/>
  <c r="C93" i="6" s="1"/>
  <c r="O52" i="6"/>
  <c r="O93" i="6" s="1"/>
  <c r="N52" i="6"/>
  <c r="N93" i="6" s="1"/>
  <c r="I47" i="7"/>
  <c r="F136" i="7"/>
  <c r="B136" i="7" s="1"/>
  <c r="H136" i="7"/>
  <c r="G136" i="7"/>
  <c r="F212" i="6"/>
  <c r="C212" i="6" s="1"/>
  <c r="F284" i="7"/>
  <c r="E284" i="7"/>
  <c r="B284" i="7" s="1"/>
  <c r="L284" i="7"/>
  <c r="I284" i="7"/>
  <c r="H284" i="7"/>
  <c r="W64" i="8"/>
  <c r="W63" i="8" s="1"/>
  <c r="W59" i="8" s="1"/>
  <c r="W36" i="8"/>
  <c r="W38" i="8" s="1"/>
  <c r="W40" i="8" s="1"/>
  <c r="W34" i="8" s="1"/>
  <c r="W25" i="8"/>
  <c r="AK20" i="8"/>
  <c r="AK28" i="8"/>
  <c r="AK27" i="8" s="1"/>
  <c r="AK21" i="8"/>
  <c r="K70" i="7"/>
  <c r="I70" i="7"/>
  <c r="H70" i="7"/>
  <c r="E29" i="7" s="1"/>
  <c r="J70" i="7"/>
  <c r="G70" i="7"/>
  <c r="F70" i="7"/>
  <c r="F162" i="7"/>
  <c r="H162" i="7"/>
  <c r="B162" i="7"/>
  <c r="G162" i="7"/>
  <c r="C28" i="6"/>
  <c r="C92" i="6"/>
  <c r="M28" i="8"/>
  <c r="M27" i="8" s="1"/>
  <c r="M21" i="8"/>
  <c r="M20" i="8"/>
  <c r="H141" i="3"/>
  <c r="H136" i="3"/>
  <c r="Q112" i="11"/>
  <c r="H38" i="7"/>
  <c r="J38" i="7" s="1"/>
  <c r="J20" i="7" l="1"/>
  <c r="I50" i="7"/>
  <c r="M145" i="7"/>
  <c r="G285" i="7"/>
  <c r="I29" i="7"/>
  <c r="J47" i="7"/>
  <c r="I20" i="7"/>
  <c r="H25" i="7"/>
  <c r="J25" i="7" s="1"/>
  <c r="M137" i="7"/>
  <c r="AA137" i="7" s="1"/>
  <c r="G283" i="7"/>
  <c r="H23" i="7"/>
  <c r="J23" i="7" s="1"/>
  <c r="J30" i="7"/>
  <c r="H35" i="7"/>
  <c r="I26" i="7"/>
  <c r="J26" i="7" s="1"/>
  <c r="J17" i="7"/>
  <c r="G288" i="7"/>
  <c r="M161" i="7"/>
  <c r="J50" i="7"/>
  <c r="M135" i="7"/>
  <c r="G262" i="7"/>
  <c r="H45" i="7"/>
  <c r="J45" i="7" s="1"/>
  <c r="J39" i="7"/>
  <c r="J119" i="7"/>
  <c r="H120" i="7"/>
  <c r="Y51" i="8"/>
  <c r="AQ69" i="8"/>
  <c r="I166" i="7"/>
  <c r="Q49" i="8"/>
  <c r="Q50" i="8"/>
  <c r="J111" i="11" s="1"/>
  <c r="L64" i="8"/>
  <c r="L63" i="8" s="1"/>
  <c r="L59" i="8" s="1"/>
  <c r="L25" i="8"/>
  <c r="L36" i="8"/>
  <c r="L38" i="8" s="1"/>
  <c r="L40" i="8" s="1"/>
  <c r="L34" i="8" s="1"/>
  <c r="S67" i="8"/>
  <c r="S71" i="8" s="1"/>
  <c r="S70" i="8" s="1"/>
  <c r="S57" i="8"/>
  <c r="O44" i="8"/>
  <c r="O50" i="8" s="1"/>
  <c r="J109" i="11" s="1"/>
  <c r="G279" i="7"/>
  <c r="M152" i="7"/>
  <c r="O57" i="8"/>
  <c r="H46" i="7"/>
  <c r="J46" i="7" s="1"/>
  <c r="Z69" i="8"/>
  <c r="H80" i="11"/>
  <c r="W137" i="7"/>
  <c r="R137" i="7"/>
  <c r="AI137" i="7"/>
  <c r="AK137" i="7"/>
  <c r="AE137" i="7"/>
  <c r="AD137" i="7"/>
  <c r="V137" i="7"/>
  <c r="AJ137" i="7"/>
  <c r="AB137" i="7"/>
  <c r="Z137" i="7"/>
  <c r="Y137" i="7"/>
  <c r="AH137" i="7"/>
  <c r="AC137" i="7"/>
  <c r="Q57" i="8"/>
  <c r="Q67" i="8"/>
  <c r="Q71" i="8" s="1"/>
  <c r="Q70" i="8" s="1"/>
  <c r="J41" i="7"/>
  <c r="I42" i="7"/>
  <c r="J42" i="7" s="1"/>
  <c r="P44" i="8"/>
  <c r="P50" i="8" s="1"/>
  <c r="J110" i="11" s="1"/>
  <c r="AH67" i="8"/>
  <c r="AH71" i="8" s="1"/>
  <c r="AH70" i="8" s="1"/>
  <c r="AF20" i="8"/>
  <c r="AF28" i="8"/>
  <c r="AF27" i="8" s="1"/>
  <c r="AF21" i="8"/>
  <c r="W44" i="8"/>
  <c r="W50" i="8" s="1"/>
  <c r="W49" i="8"/>
  <c r="M159" i="7"/>
  <c r="G286" i="7"/>
  <c r="AF57" i="8"/>
  <c r="AF67" i="8"/>
  <c r="AF71" i="8"/>
  <c r="AF70" i="8" s="1"/>
  <c r="AI44" i="8"/>
  <c r="AI50" i="8" s="1"/>
  <c r="J122" i="11" s="1"/>
  <c r="AI49" i="8"/>
  <c r="I295" i="7"/>
  <c r="K268" i="7" s="1"/>
  <c r="F64" i="6"/>
  <c r="C23" i="6"/>
  <c r="P67" i="8"/>
  <c r="P71" i="8" s="1"/>
  <c r="P70" i="8" s="1"/>
  <c r="H29" i="7"/>
  <c r="J29" i="7" s="1"/>
  <c r="H77" i="11"/>
  <c r="W69" i="8"/>
  <c r="AJ158" i="7"/>
  <c r="X158" i="7"/>
  <c r="V158" i="7"/>
  <c r="T158" i="7"/>
  <c r="AL158" i="7"/>
  <c r="AA158" i="7"/>
  <c r="Q158" i="7"/>
  <c r="U158" i="7"/>
  <c r="R158" i="7"/>
  <c r="AI158" i="7"/>
  <c r="AK158" i="7"/>
  <c r="AB158" i="7"/>
  <c r="W158" i="7"/>
  <c r="S158" i="7"/>
  <c r="AG158" i="7"/>
  <c r="AF158" i="7"/>
  <c r="AC158" i="7"/>
  <c r="Z158" i="7"/>
  <c r="AE158" i="7"/>
  <c r="AD158" i="7"/>
  <c r="Y158" i="7"/>
  <c r="AH158" i="7"/>
  <c r="N23" i="6"/>
  <c r="N64" i="6" s="1"/>
  <c r="G266" i="7"/>
  <c r="M139" i="7"/>
  <c r="G291" i="7"/>
  <c r="M164" i="7"/>
  <c r="J34" i="7"/>
  <c r="L67" i="8"/>
  <c r="L71" i="8" s="1"/>
  <c r="L70" i="8" s="1"/>
  <c r="L57" i="8"/>
  <c r="G294" i="7"/>
  <c r="M167" i="7"/>
  <c r="H87" i="11"/>
  <c r="AN67" i="8"/>
  <c r="AN71" i="8" s="1"/>
  <c r="AN70" i="8" s="1"/>
  <c r="B8" i="4"/>
  <c r="AN57" i="8"/>
  <c r="O23" i="6"/>
  <c r="O64" i="6" s="1"/>
  <c r="Q107" i="11" s="1"/>
  <c r="AF64" i="8"/>
  <c r="AF63" i="8" s="1"/>
  <c r="AF59" i="8" s="1"/>
  <c r="AF25" i="8"/>
  <c r="AF36" i="8"/>
  <c r="AF38" i="8" s="1"/>
  <c r="AF40" i="8" s="1"/>
  <c r="AF34" i="8" s="1"/>
  <c r="I149" i="7"/>
  <c r="H115" i="11"/>
  <c r="AB69" i="8"/>
  <c r="H386" i="7"/>
  <c r="G397" i="7" s="1"/>
  <c r="Y147" i="7"/>
  <c r="AJ147" i="7"/>
  <c r="AH147" i="7"/>
  <c r="AB147" i="7"/>
  <c r="AG147" i="7"/>
  <c r="AE147" i="7"/>
  <c r="R147" i="7"/>
  <c r="Z147" i="7"/>
  <c r="X147" i="7"/>
  <c r="W147" i="7"/>
  <c r="U147" i="7"/>
  <c r="V147" i="7"/>
  <c r="S147" i="7"/>
  <c r="Q147" i="7"/>
  <c r="AA147" i="7"/>
  <c r="T147" i="7"/>
  <c r="AI147" i="7"/>
  <c r="AF147" i="7"/>
  <c r="AD147" i="7"/>
  <c r="AL147" i="7"/>
  <c r="AK147" i="7"/>
  <c r="AC147" i="7"/>
  <c r="AQ44" i="8"/>
  <c r="AQ50" i="8" s="1"/>
  <c r="H105" i="11"/>
  <c r="K69" i="8"/>
  <c r="I134" i="7"/>
  <c r="AH28" i="8"/>
  <c r="AH27" i="8" s="1"/>
  <c r="AH21" i="8"/>
  <c r="AH20" i="8"/>
  <c r="J134" i="7"/>
  <c r="G261" i="7"/>
  <c r="M134" i="7"/>
  <c r="J40" i="7"/>
  <c r="AO44" i="8"/>
  <c r="AO50" i="8" s="1"/>
  <c r="AK153" i="7"/>
  <c r="AH153" i="7"/>
  <c r="AF153" i="7"/>
  <c r="Z153" i="7"/>
  <c r="Q153" i="7"/>
  <c r="AI153" i="7"/>
  <c r="AE153" i="7"/>
  <c r="R153" i="7"/>
  <c r="U153" i="7"/>
  <c r="T153" i="7"/>
  <c r="S153" i="7"/>
  <c r="AJ153" i="7"/>
  <c r="AD153" i="7"/>
  <c r="AB153" i="7"/>
  <c r="AC153" i="7"/>
  <c r="AG153" i="7"/>
  <c r="AA153" i="7"/>
  <c r="W153" i="7"/>
  <c r="V153" i="7"/>
  <c r="Y153" i="7"/>
  <c r="X153" i="7"/>
  <c r="AL153" i="7"/>
  <c r="N62" i="6"/>
  <c r="AJ28" i="8"/>
  <c r="AJ27" i="8" s="1"/>
  <c r="AJ21" i="8"/>
  <c r="AJ20" i="8"/>
  <c r="J32" i="7"/>
  <c r="O62" i="6"/>
  <c r="AL57" i="8"/>
  <c r="AL67" i="8"/>
  <c r="AL71" i="8" s="1"/>
  <c r="AL70" i="8" s="1"/>
  <c r="I146" i="7"/>
  <c r="J146" i="7" s="1"/>
  <c r="F71" i="6"/>
  <c r="O107" i="6" s="1"/>
  <c r="O30" i="6"/>
  <c r="O71" i="6" s="1"/>
  <c r="Q114" i="11" s="1"/>
  <c r="S155" i="7"/>
  <c r="Y155" i="7"/>
  <c r="R155" i="7"/>
  <c r="AH155" i="7"/>
  <c r="AI155" i="7"/>
  <c r="AA155" i="7"/>
  <c r="X155" i="7"/>
  <c r="AD155" i="7"/>
  <c r="AC155" i="7"/>
  <c r="AB155" i="7"/>
  <c r="W155" i="7"/>
  <c r="Z155" i="7"/>
  <c r="AK155" i="7"/>
  <c r="AL155" i="7"/>
  <c r="T155" i="7"/>
  <c r="AJ155" i="7"/>
  <c r="AG155" i="7"/>
  <c r="AF155" i="7"/>
  <c r="AE155" i="7"/>
  <c r="V155" i="7"/>
  <c r="U155" i="7"/>
  <c r="Q155" i="7"/>
  <c r="G273" i="7"/>
  <c r="M146" i="7"/>
  <c r="AD51" i="8"/>
  <c r="K117" i="11" s="1"/>
  <c r="V44" i="8"/>
  <c r="V50" i="8" s="1"/>
  <c r="V49" i="8"/>
  <c r="G267" i="7"/>
  <c r="M140" i="7"/>
  <c r="N64" i="8"/>
  <c r="N63" i="8" s="1"/>
  <c r="N59" i="8" s="1"/>
  <c r="N25" i="8"/>
  <c r="N36" i="8"/>
  <c r="N38" i="8" s="1"/>
  <c r="N40" i="8" s="1"/>
  <c r="N34" i="8" s="1"/>
  <c r="G290" i="7"/>
  <c r="M163" i="7"/>
  <c r="N30" i="6"/>
  <c r="N71" i="6" s="1"/>
  <c r="N38" i="6"/>
  <c r="N79" i="6" s="1"/>
  <c r="G281" i="7"/>
  <c r="M154" i="7"/>
  <c r="F175" i="6"/>
  <c r="C175" i="6" s="1"/>
  <c r="F201" i="6"/>
  <c r="C201" i="6" s="1"/>
  <c r="C38" i="6"/>
  <c r="E352" i="7"/>
  <c r="E354" i="7"/>
  <c r="E355" i="7" s="1"/>
  <c r="E356" i="7" s="1"/>
  <c r="E357" i="7" s="1"/>
  <c r="E358" i="7" s="1"/>
  <c r="E359" i="7" s="1"/>
  <c r="O67" i="8"/>
  <c r="O71" i="8" s="1"/>
  <c r="O70" i="8" s="1"/>
  <c r="C65" i="6"/>
  <c r="F200" i="6"/>
  <c r="C200" i="6" s="1"/>
  <c r="G269" i="7"/>
  <c r="M142" i="7"/>
  <c r="AK67" i="8"/>
  <c r="AK71" i="8" s="1"/>
  <c r="AK70" i="8" s="1"/>
  <c r="AK57" i="8"/>
  <c r="U72" i="8"/>
  <c r="H85" i="11"/>
  <c r="AM69" i="8"/>
  <c r="AH64" i="8"/>
  <c r="AH63" i="8" s="1"/>
  <c r="AH59" i="8" s="1"/>
  <c r="AH36" i="8"/>
  <c r="AH38" i="8" s="1"/>
  <c r="AH40" i="8" s="1"/>
  <c r="AH34" i="8" s="1"/>
  <c r="AH25" i="8"/>
  <c r="I43" i="7"/>
  <c r="J43" i="7" s="1"/>
  <c r="I35" i="7"/>
  <c r="J35" i="7" s="1"/>
  <c r="H33" i="7"/>
  <c r="J33" i="7" s="1"/>
  <c r="J21" i="7"/>
  <c r="P72" i="8"/>
  <c r="Q51" i="8"/>
  <c r="K111" i="11" s="1"/>
  <c r="G284" i="7"/>
  <c r="M157" i="7"/>
  <c r="R44" i="8"/>
  <c r="R50" i="8" s="1"/>
  <c r="J112" i="11" s="1"/>
  <c r="V69" i="8"/>
  <c r="H76" i="11"/>
  <c r="I145" i="7"/>
  <c r="J145" i="7" s="1"/>
  <c r="H122" i="11"/>
  <c r="H393" i="7"/>
  <c r="G404" i="7" s="1"/>
  <c r="I158" i="7"/>
  <c r="J158" i="7" s="1"/>
  <c r="AK44" i="8"/>
  <c r="AK50" i="8" s="1"/>
  <c r="AK49" i="8"/>
  <c r="M44" i="8"/>
  <c r="M50" i="8" s="1"/>
  <c r="J107" i="11" s="1"/>
  <c r="AJ64" i="8"/>
  <c r="AJ63" i="8" s="1"/>
  <c r="AJ59" i="8" s="1"/>
  <c r="AJ25" i="8"/>
  <c r="AJ36" i="8"/>
  <c r="AJ38" i="8" s="1"/>
  <c r="AJ40" i="8" s="1"/>
  <c r="AJ34" i="8" s="1"/>
  <c r="AQ72" i="8"/>
  <c r="AQ57" i="8"/>
  <c r="M141" i="7"/>
  <c r="G268" i="7"/>
  <c r="H114" i="11"/>
  <c r="I143" i="7"/>
  <c r="J143" i="7" s="1"/>
  <c r="AA44" i="8"/>
  <c r="AA51" i="8"/>
  <c r="Z72" i="8"/>
  <c r="Z57" i="8"/>
  <c r="AP67" i="8"/>
  <c r="AP71" i="8" s="1"/>
  <c r="AP70" i="8" s="1"/>
  <c r="M138" i="7"/>
  <c r="G265" i="7"/>
  <c r="X67" i="8"/>
  <c r="X71" i="8" s="1"/>
  <c r="X70" i="8" s="1"/>
  <c r="X57" i="8"/>
  <c r="W72" i="8"/>
  <c r="W57" i="8"/>
  <c r="AL44" i="8"/>
  <c r="N21" i="8"/>
  <c r="N28" i="8"/>
  <c r="N27" i="8" s="1"/>
  <c r="N20" i="8"/>
  <c r="AD49" i="8"/>
  <c r="G289" i="7"/>
  <c r="M162" i="7"/>
  <c r="G188" i="6"/>
  <c r="G214" i="6"/>
  <c r="R72" i="8"/>
  <c r="R57" i="8"/>
  <c r="R67" i="8"/>
  <c r="R71" i="8" s="1"/>
  <c r="R70" i="8" s="1"/>
  <c r="O38" i="6"/>
  <c r="O79" i="6" s="1"/>
  <c r="Q115" i="11" s="1"/>
  <c r="I162" i="7"/>
  <c r="H295" i="7"/>
  <c r="J287" i="7" s="1"/>
  <c r="G206" i="6"/>
  <c r="AM72" i="8"/>
  <c r="AM57" i="8"/>
  <c r="J28" i="7"/>
  <c r="I151" i="7"/>
  <c r="J151" i="7" s="1"/>
  <c r="I20" i="8"/>
  <c r="I21" i="8"/>
  <c r="U67" i="8"/>
  <c r="U71" i="8" s="1"/>
  <c r="U70" i="8" s="1"/>
  <c r="F85" i="6"/>
  <c r="C44" i="6"/>
  <c r="J37" i="7"/>
  <c r="N57" i="8"/>
  <c r="N67" i="8"/>
  <c r="N71" i="8" s="1"/>
  <c r="N70" i="8" s="1"/>
  <c r="J44" i="7"/>
  <c r="H18" i="7"/>
  <c r="J18" i="7" s="1"/>
  <c r="J36" i="7"/>
  <c r="G108" i="7"/>
  <c r="F105" i="7"/>
  <c r="G103" i="7"/>
  <c r="G106" i="7"/>
  <c r="F102" i="7"/>
  <c r="G107" i="7"/>
  <c r="G99" i="7"/>
  <c r="E17" i="7"/>
  <c r="G98" i="7"/>
  <c r="F103" i="7"/>
  <c r="F98" i="7"/>
  <c r="G102" i="7"/>
  <c r="G97" i="7"/>
  <c r="F97" i="7"/>
  <c r="G101" i="7"/>
  <c r="F108" i="7"/>
  <c r="F107" i="7"/>
  <c r="G105" i="7"/>
  <c r="G100" i="7"/>
  <c r="F101" i="7"/>
  <c r="F99" i="7"/>
  <c r="F106" i="7"/>
  <c r="G104" i="7"/>
  <c r="F104" i="7"/>
  <c r="F100" i="7"/>
  <c r="T72" i="8"/>
  <c r="T69" i="8" s="1"/>
  <c r="AN44" i="8"/>
  <c r="AN50" i="8" s="1"/>
  <c r="J166" i="7"/>
  <c r="S44" i="8"/>
  <c r="S50" i="8" s="1"/>
  <c r="J113" i="11" s="1"/>
  <c r="C62" i="6"/>
  <c r="F197" i="6"/>
  <c r="C197" i="6" s="1"/>
  <c r="Y49" i="8"/>
  <c r="Y48" i="8" s="1"/>
  <c r="K72" i="8"/>
  <c r="G293" i="7"/>
  <c r="M166" i="7"/>
  <c r="M165" i="7"/>
  <c r="G292" i="7"/>
  <c r="AC57" i="8"/>
  <c r="AC67" i="8"/>
  <c r="AC71" i="8" s="1"/>
  <c r="AC70" i="8" s="1"/>
  <c r="M151" i="7"/>
  <c r="G278" i="7"/>
  <c r="AP44" i="8"/>
  <c r="AP50" i="8" s="1"/>
  <c r="AR44" i="8"/>
  <c r="AR49" i="8" s="1"/>
  <c r="AL148" i="7"/>
  <c r="AB148" i="7"/>
  <c r="Z148" i="7"/>
  <c r="T148" i="7"/>
  <c r="AK148" i="7"/>
  <c r="AD148" i="7"/>
  <c r="AA148" i="7"/>
  <c r="Q148" i="7"/>
  <c r="AF148" i="7"/>
  <c r="AE148" i="7"/>
  <c r="AC148" i="7"/>
  <c r="Y148" i="7"/>
  <c r="AI148" i="7"/>
  <c r="AH148" i="7"/>
  <c r="AG148" i="7"/>
  <c r="W148" i="7"/>
  <c r="V148" i="7"/>
  <c r="X148" i="7"/>
  <c r="AJ148" i="7"/>
  <c r="U148" i="7"/>
  <c r="S148" i="7"/>
  <c r="R148" i="7"/>
  <c r="O105" i="6"/>
  <c r="O135" i="6" s="1"/>
  <c r="N105" i="6"/>
  <c r="N135" i="6" s="1"/>
  <c r="G197" i="6"/>
  <c r="H117" i="11"/>
  <c r="H388" i="7"/>
  <c r="G399" i="7" s="1"/>
  <c r="AD69" i="8"/>
  <c r="I153" i="7"/>
  <c r="J153" i="7" s="1"/>
  <c r="E228" i="7"/>
  <c r="V72" i="8"/>
  <c r="AE25" i="8"/>
  <c r="AE64" i="8"/>
  <c r="AE63" i="8" s="1"/>
  <c r="AE59" i="8" s="1"/>
  <c r="AE36" i="8"/>
  <c r="AE38" i="8" s="1"/>
  <c r="AE40" i="8" s="1"/>
  <c r="AE34" i="8" s="1"/>
  <c r="AE44" i="8" s="1"/>
  <c r="AE50" i="8" s="1"/>
  <c r="J118" i="11" s="1"/>
  <c r="K44" i="8"/>
  <c r="K50" i="8" s="1"/>
  <c r="J105" i="11" s="1"/>
  <c r="AM44" i="8"/>
  <c r="AM50" i="8" s="1"/>
  <c r="G263" i="7"/>
  <c r="M136" i="7"/>
  <c r="G270" i="7"/>
  <c r="M143" i="7"/>
  <c r="X44" i="8"/>
  <c r="X50" i="8" s="1"/>
  <c r="U44" i="8"/>
  <c r="U50" i="8" s="1"/>
  <c r="U49" i="8"/>
  <c r="P51" i="8"/>
  <c r="K110" i="11" s="1"/>
  <c r="AC44" i="8"/>
  <c r="AC50" i="8" s="1"/>
  <c r="J116" i="11" s="1"/>
  <c r="H79" i="11"/>
  <c r="I148" i="7"/>
  <c r="AR71" i="8"/>
  <c r="AR70" i="8" s="1"/>
  <c r="AO72" i="8"/>
  <c r="AO69" i="8" s="1"/>
  <c r="F171" i="6"/>
  <c r="C171" i="6" s="1"/>
  <c r="J49" i="7"/>
  <c r="U145" i="7"/>
  <c r="AC145" i="7"/>
  <c r="AA145" i="7"/>
  <c r="T145" i="7"/>
  <c r="X145" i="7"/>
  <c r="Q145" i="7"/>
  <c r="R145" i="7"/>
  <c r="AH145" i="7"/>
  <c r="AG145" i="7"/>
  <c r="AF145" i="7"/>
  <c r="AB145" i="7"/>
  <c r="AE145" i="7"/>
  <c r="AD145" i="7"/>
  <c r="AJ145" i="7"/>
  <c r="AI145" i="7"/>
  <c r="AL145" i="7"/>
  <c r="AK145" i="7"/>
  <c r="Z145" i="7"/>
  <c r="Y145" i="7"/>
  <c r="S145" i="7"/>
  <c r="W145" i="7"/>
  <c r="V145" i="7"/>
  <c r="M150" i="7"/>
  <c r="G277" i="7"/>
  <c r="AF156" i="7"/>
  <c r="Q156" i="7"/>
  <c r="AJ156" i="7"/>
  <c r="AH156" i="7"/>
  <c r="AA156" i="7"/>
  <c r="AE156" i="7"/>
  <c r="W156" i="7"/>
  <c r="U156" i="7"/>
  <c r="R156" i="7"/>
  <c r="AK156" i="7"/>
  <c r="AI156" i="7"/>
  <c r="AG156" i="7"/>
  <c r="AC156" i="7"/>
  <c r="AD156" i="7"/>
  <c r="X156" i="7"/>
  <c r="V156" i="7"/>
  <c r="T156" i="7"/>
  <c r="S156" i="7"/>
  <c r="AL156" i="7"/>
  <c r="AB156" i="7"/>
  <c r="Z156" i="7"/>
  <c r="Y156" i="7"/>
  <c r="M149" i="7"/>
  <c r="G276" i="7"/>
  <c r="Z44" i="8"/>
  <c r="Z50" i="8" s="1"/>
  <c r="Z49" i="8"/>
  <c r="R160" i="7"/>
  <c r="AE160" i="7"/>
  <c r="AG160" i="7"/>
  <c r="AD160" i="7"/>
  <c r="X160" i="7"/>
  <c r="T160" i="7"/>
  <c r="AK160" i="7"/>
  <c r="W160" i="7"/>
  <c r="U160" i="7"/>
  <c r="S160" i="7"/>
  <c r="Z160" i="7"/>
  <c r="Y160" i="7"/>
  <c r="V160" i="7"/>
  <c r="Q160" i="7"/>
  <c r="AL160" i="7"/>
  <c r="AJ160" i="7"/>
  <c r="AI160" i="7"/>
  <c r="AF160" i="7"/>
  <c r="AC160" i="7"/>
  <c r="AH160" i="7"/>
  <c r="AA160" i="7"/>
  <c r="AB160" i="7"/>
  <c r="AG20" i="8"/>
  <c r="AG21" i="8"/>
  <c r="AG28" i="8"/>
  <c r="AG27" i="8" s="1"/>
  <c r="J27" i="7"/>
  <c r="J50" i="8"/>
  <c r="J49" i="8"/>
  <c r="J262" i="7"/>
  <c r="AG36" i="8"/>
  <c r="AG38" i="8" s="1"/>
  <c r="AG40" i="8" s="1"/>
  <c r="AG34" i="8" s="1"/>
  <c r="AG25" i="8"/>
  <c r="AG64" i="8"/>
  <c r="AG63" i="8" s="1"/>
  <c r="AG59" i="8" s="1"/>
  <c r="T44" i="8"/>
  <c r="T50" i="8" s="1"/>
  <c r="J114" i="11" s="1"/>
  <c r="H144" i="3"/>
  <c r="G271" i="7"/>
  <c r="M144" i="7"/>
  <c r="G171" i="6"/>
  <c r="AA67" i="8"/>
  <c r="AA71" i="8" s="1"/>
  <c r="AA70" i="8" s="1"/>
  <c r="AA57" i="8"/>
  <c r="I48" i="8"/>
  <c r="Y72" i="8"/>
  <c r="Y69" i="8" s="1"/>
  <c r="L28" i="8"/>
  <c r="L27" i="8" s="1"/>
  <c r="L21" i="8"/>
  <c r="L20" i="8"/>
  <c r="AI72" i="8"/>
  <c r="AI69" i="8" s="1"/>
  <c r="J48" i="7"/>
  <c r="AG67" i="8"/>
  <c r="AG57" i="8"/>
  <c r="AG71" i="8"/>
  <c r="AG70" i="8" s="1"/>
  <c r="M57" i="8"/>
  <c r="M67" i="8"/>
  <c r="M71" i="8" s="1"/>
  <c r="M70" i="8" s="1"/>
  <c r="K262" i="7" l="1"/>
  <c r="AG137" i="7"/>
  <c r="AG135" i="7"/>
  <c r="AC135" i="7"/>
  <c r="AJ135" i="7"/>
  <c r="AH135" i="7"/>
  <c r="AB135" i="7"/>
  <c r="AL135" i="7"/>
  <c r="Y135" i="7"/>
  <c r="W135" i="7"/>
  <c r="U135" i="7"/>
  <c r="T135" i="7"/>
  <c r="AD135" i="7"/>
  <c r="Q135" i="7"/>
  <c r="V135" i="7"/>
  <c r="AA135" i="7"/>
  <c r="Z135" i="7"/>
  <c r="AE135" i="7"/>
  <c r="AF135" i="7"/>
  <c r="S135" i="7"/>
  <c r="AK135" i="7"/>
  <c r="X135" i="7"/>
  <c r="R135" i="7"/>
  <c r="AI135" i="7"/>
  <c r="T137" i="7"/>
  <c r="Q137" i="7"/>
  <c r="K287" i="7"/>
  <c r="K286" i="7"/>
  <c r="S137" i="7"/>
  <c r="X49" i="8"/>
  <c r="X48" i="8" s="1"/>
  <c r="R49" i="8"/>
  <c r="X137" i="7"/>
  <c r="AC49" i="8"/>
  <c r="AF137" i="7"/>
  <c r="AL137" i="7"/>
  <c r="K263" i="7"/>
  <c r="Z51" i="8"/>
  <c r="R51" i="8"/>
  <c r="K112" i="11" s="1"/>
  <c r="U137" i="7"/>
  <c r="K284" i="7"/>
  <c r="K276" i="7"/>
  <c r="H121" i="7"/>
  <c r="J148" i="7" s="1"/>
  <c r="J120" i="7"/>
  <c r="AG161" i="7"/>
  <c r="X161" i="7"/>
  <c r="V161" i="7"/>
  <c r="AI161" i="7"/>
  <c r="AD161" i="7"/>
  <c r="AB161" i="7"/>
  <c r="S161" i="7"/>
  <c r="AK161" i="7"/>
  <c r="AE161" i="7"/>
  <c r="Y161" i="7"/>
  <c r="AA161" i="7"/>
  <c r="R161" i="7"/>
  <c r="U161" i="7"/>
  <c r="AL161" i="7"/>
  <c r="W161" i="7"/>
  <c r="T161" i="7"/>
  <c r="Z161" i="7"/>
  <c r="AJ161" i="7"/>
  <c r="AH161" i="7"/>
  <c r="AF161" i="7"/>
  <c r="Q161" i="7"/>
  <c r="AC161" i="7"/>
  <c r="K290" i="7"/>
  <c r="O51" i="8"/>
  <c r="K109" i="11" s="1"/>
  <c r="AM49" i="8"/>
  <c r="U51" i="8"/>
  <c r="AQ49" i="8"/>
  <c r="M51" i="8"/>
  <c r="K107" i="11" s="1"/>
  <c r="AK51" i="8"/>
  <c r="AK48" i="8" s="1"/>
  <c r="S51" i="8"/>
  <c r="K113" i="11" s="1"/>
  <c r="V51" i="8"/>
  <c r="V48" i="8" s="1"/>
  <c r="P49" i="8"/>
  <c r="X51" i="8"/>
  <c r="W51" i="8"/>
  <c r="T51" i="8"/>
  <c r="K114" i="11" s="1"/>
  <c r="M49" i="8"/>
  <c r="I107" i="11" s="1"/>
  <c r="N101" i="6"/>
  <c r="N103" i="6" s="1"/>
  <c r="H106" i="11"/>
  <c r="I135" i="7"/>
  <c r="J135" i="7" s="1"/>
  <c r="F174" i="7" s="1"/>
  <c r="H174" i="7" s="1"/>
  <c r="J174" i="7" s="1"/>
  <c r="H108" i="11"/>
  <c r="I137" i="7"/>
  <c r="J137" i="7" s="1"/>
  <c r="F179" i="7" s="1"/>
  <c r="H179" i="7" s="1"/>
  <c r="J179" i="7" s="1"/>
  <c r="H121" i="11"/>
  <c r="H392" i="7"/>
  <c r="G403" i="7" s="1"/>
  <c r="I157" i="7"/>
  <c r="J157" i="7" s="1"/>
  <c r="I122" i="11"/>
  <c r="AF44" i="8"/>
  <c r="AF50" i="8" s="1"/>
  <c r="J119" i="11" s="1"/>
  <c r="H111" i="11"/>
  <c r="Q69" i="8"/>
  <c r="I140" i="7"/>
  <c r="J140" i="7" s="1"/>
  <c r="T150" i="7"/>
  <c r="AI150" i="7"/>
  <c r="AG150" i="7"/>
  <c r="AA150" i="7"/>
  <c r="AC150" i="7"/>
  <c r="U150" i="7"/>
  <c r="R150" i="7"/>
  <c r="AL150" i="7"/>
  <c r="AK150" i="7"/>
  <c r="AH150" i="7"/>
  <c r="AJ150" i="7"/>
  <c r="S150" i="7"/>
  <c r="Q150" i="7"/>
  <c r="AD150" i="7"/>
  <c r="AB150" i="7"/>
  <c r="AF150" i="7"/>
  <c r="AE150" i="7"/>
  <c r="Z150" i="7"/>
  <c r="Y150" i="7"/>
  <c r="V150" i="7"/>
  <c r="X150" i="7"/>
  <c r="W150" i="7"/>
  <c r="AD166" i="7"/>
  <c r="AC166" i="7"/>
  <c r="AL166" i="7"/>
  <c r="AF166" i="7"/>
  <c r="AB166" i="7"/>
  <c r="U166" i="7"/>
  <c r="S166" i="7"/>
  <c r="AG166" i="7"/>
  <c r="AA166" i="7"/>
  <c r="Z166" i="7"/>
  <c r="X166" i="7"/>
  <c r="W166" i="7"/>
  <c r="V166" i="7"/>
  <c r="R166" i="7"/>
  <c r="T166" i="7"/>
  <c r="AK166" i="7"/>
  <c r="AI166" i="7"/>
  <c r="AH166" i="7"/>
  <c r="Q166" i="7"/>
  <c r="AE166" i="7"/>
  <c r="Y166" i="7"/>
  <c r="AJ166" i="7"/>
  <c r="AD48" i="8"/>
  <c r="I117" i="11"/>
  <c r="AP72" i="8"/>
  <c r="I105" i="7"/>
  <c r="B9" i="4"/>
  <c r="AE139" i="7"/>
  <c r="AD139" i="7"/>
  <c r="AB139" i="7"/>
  <c r="V139" i="7"/>
  <c r="W139" i="7"/>
  <c r="R139" i="7"/>
  <c r="Y139" i="7"/>
  <c r="X139" i="7"/>
  <c r="U139" i="7"/>
  <c r="T139" i="7"/>
  <c r="AL139" i="7"/>
  <c r="AK139" i="7"/>
  <c r="AJ139" i="7"/>
  <c r="AH139" i="7"/>
  <c r="AG139" i="7"/>
  <c r="AI139" i="7"/>
  <c r="Q139" i="7"/>
  <c r="AF139" i="7"/>
  <c r="AC139" i="7"/>
  <c r="S139" i="7"/>
  <c r="AA139" i="7"/>
  <c r="Z139" i="7"/>
  <c r="J263" i="7"/>
  <c r="Q72" i="8"/>
  <c r="Q143" i="7"/>
  <c r="V143" i="7"/>
  <c r="T143" i="7"/>
  <c r="AJ143" i="7"/>
  <c r="AF143" i="7"/>
  <c r="Y143" i="7"/>
  <c r="W143" i="7"/>
  <c r="AL143" i="7"/>
  <c r="AI143" i="7"/>
  <c r="AK143" i="7"/>
  <c r="AA143" i="7"/>
  <c r="AC143" i="7"/>
  <c r="AB143" i="7"/>
  <c r="U143" i="7"/>
  <c r="S143" i="7"/>
  <c r="Z143" i="7"/>
  <c r="X143" i="7"/>
  <c r="R143" i="7"/>
  <c r="AH143" i="7"/>
  <c r="AG143" i="7"/>
  <c r="AE143" i="7"/>
  <c r="AD143" i="7"/>
  <c r="Q165" i="7"/>
  <c r="AK165" i="7"/>
  <c r="W165" i="7"/>
  <c r="U165" i="7"/>
  <c r="AL165" i="7"/>
  <c r="AF165" i="7"/>
  <c r="Y165" i="7"/>
  <c r="V165" i="7"/>
  <c r="AD165" i="7"/>
  <c r="AB165" i="7"/>
  <c r="AA165" i="7"/>
  <c r="R165" i="7"/>
  <c r="AE165" i="7"/>
  <c r="AC165" i="7"/>
  <c r="Z165" i="7"/>
  <c r="S165" i="7"/>
  <c r="X165" i="7"/>
  <c r="T165" i="7"/>
  <c r="AJ165" i="7"/>
  <c r="AI165" i="7"/>
  <c r="AH165" i="7"/>
  <c r="AG165" i="7"/>
  <c r="E101" i="7"/>
  <c r="H101" i="7" s="1"/>
  <c r="AP69" i="8"/>
  <c r="I165" i="7"/>
  <c r="J165" i="7" s="1"/>
  <c r="N61" i="6"/>
  <c r="L44" i="8"/>
  <c r="L50" i="8" s="1"/>
  <c r="J106" i="11" s="1"/>
  <c r="J48" i="8"/>
  <c r="E249" i="7"/>
  <c r="F248" i="7" s="1"/>
  <c r="F228" i="7"/>
  <c r="F226" i="7"/>
  <c r="F227" i="7"/>
  <c r="H107" i="7"/>
  <c r="E107" i="7"/>
  <c r="I107" i="7" s="1"/>
  <c r="AM51" i="8"/>
  <c r="AE49" i="8"/>
  <c r="AI163" i="7"/>
  <c r="AD163" i="7"/>
  <c r="AK163" i="7"/>
  <c r="AH163" i="7"/>
  <c r="AA163" i="7"/>
  <c r="AC163" i="7"/>
  <c r="Z163" i="7"/>
  <c r="Y163" i="7"/>
  <c r="W163" i="7"/>
  <c r="V163" i="7"/>
  <c r="AL163" i="7"/>
  <c r="AJ163" i="7"/>
  <c r="AF163" i="7"/>
  <c r="AE163" i="7"/>
  <c r="AG163" i="7"/>
  <c r="Q163" i="7"/>
  <c r="AB163" i="7"/>
  <c r="X163" i="7"/>
  <c r="U163" i="7"/>
  <c r="T163" i="7"/>
  <c r="S163" i="7"/>
  <c r="R163" i="7"/>
  <c r="N107" i="6"/>
  <c r="E98" i="7"/>
  <c r="H98" i="7"/>
  <c r="AH72" i="8"/>
  <c r="AH69" i="8" s="1"/>
  <c r="AL72" i="8"/>
  <c r="AL69" i="8" s="1"/>
  <c r="AO49" i="8"/>
  <c r="N212" i="6"/>
  <c r="L72" i="8"/>
  <c r="L69" i="8" s="1"/>
  <c r="I98" i="7"/>
  <c r="F187" i="6"/>
  <c r="C187" i="6" s="1"/>
  <c r="F213" i="6"/>
  <c r="C213" i="6" s="1"/>
  <c r="C85" i="6"/>
  <c r="O20" i="6"/>
  <c r="AA159" i="7"/>
  <c r="AK159" i="7"/>
  <c r="AE159" i="7"/>
  <c r="W159" i="7"/>
  <c r="V159" i="7"/>
  <c r="T159" i="7"/>
  <c r="S159" i="7"/>
  <c r="R159" i="7"/>
  <c r="Q159" i="7"/>
  <c r="Y159" i="7"/>
  <c r="X159" i="7"/>
  <c r="U159" i="7"/>
  <c r="AL159" i="7"/>
  <c r="AJ159" i="7"/>
  <c r="AC159" i="7"/>
  <c r="AB159" i="7"/>
  <c r="AI159" i="7"/>
  <c r="AH159" i="7"/>
  <c r="AG159" i="7"/>
  <c r="AF159" i="7"/>
  <c r="AD159" i="7"/>
  <c r="Z159" i="7"/>
  <c r="E108" i="7"/>
  <c r="H108" i="7" s="1"/>
  <c r="I101" i="7"/>
  <c r="AG44" i="8"/>
  <c r="AG50" i="8" s="1"/>
  <c r="J120" i="11" s="1"/>
  <c r="E361" i="7"/>
  <c r="E362" i="7" s="1"/>
  <c r="E363" i="7" s="1"/>
  <c r="E364" i="7" s="1"/>
  <c r="E365" i="7" s="1"/>
  <c r="E366" i="7" s="1"/>
  <c r="E360" i="7"/>
  <c r="W157" i="7"/>
  <c r="AF157" i="7"/>
  <c r="AC157" i="7"/>
  <c r="AA157" i="7"/>
  <c r="T157" i="7"/>
  <c r="AD157" i="7"/>
  <c r="S157" i="7"/>
  <c r="Q157" i="7"/>
  <c r="R157" i="7"/>
  <c r="AL157" i="7"/>
  <c r="AJ157" i="7"/>
  <c r="AK157" i="7"/>
  <c r="AG157" i="7"/>
  <c r="AE157" i="7"/>
  <c r="AB157" i="7"/>
  <c r="Y157" i="7"/>
  <c r="X157" i="7"/>
  <c r="Z157" i="7"/>
  <c r="AH157" i="7"/>
  <c r="V157" i="7"/>
  <c r="U157" i="7"/>
  <c r="AI157" i="7"/>
  <c r="AJ57" i="8"/>
  <c r="N72" i="8"/>
  <c r="N69" i="8" s="1"/>
  <c r="AJ67" i="8"/>
  <c r="AJ71" i="8" s="1"/>
  <c r="AJ70" i="8" s="1"/>
  <c r="AR50" i="8"/>
  <c r="AR51" i="8"/>
  <c r="S49" i="8"/>
  <c r="H112" i="11"/>
  <c r="R69" i="8"/>
  <c r="I141" i="7"/>
  <c r="J141" i="7" s="1"/>
  <c r="J276" i="7"/>
  <c r="O61" i="6"/>
  <c r="Q105" i="11"/>
  <c r="P115" i="11" s="1"/>
  <c r="F192" i="7"/>
  <c r="H192" i="7" s="1"/>
  <c r="J192" i="7" s="1"/>
  <c r="E189" i="7"/>
  <c r="AF134" i="7"/>
  <c r="F180" i="7"/>
  <c r="H180" i="7" s="1"/>
  <c r="J180" i="7" s="1"/>
  <c r="X134" i="7"/>
  <c r="F189" i="7"/>
  <c r="H189" i="7" s="1"/>
  <c r="E175" i="7"/>
  <c r="V134" i="7"/>
  <c r="F188" i="7"/>
  <c r="H188" i="7" s="1"/>
  <c r="E183" i="7"/>
  <c r="R134" i="7"/>
  <c r="E186" i="7"/>
  <c r="AJ134" i="7"/>
  <c r="F173" i="7"/>
  <c r="H173" i="7" s="1"/>
  <c r="J173" i="7" s="1"/>
  <c r="F186" i="7"/>
  <c r="H186" i="7" s="1"/>
  <c r="J186" i="7" s="1"/>
  <c r="Z134" i="7"/>
  <c r="W134" i="7"/>
  <c r="U134" i="7"/>
  <c r="F183" i="7"/>
  <c r="H183" i="7" s="1"/>
  <c r="J183" i="7" s="1"/>
  <c r="AL134" i="7"/>
  <c r="E188" i="7"/>
  <c r="AK134" i="7"/>
  <c r="E184" i="7"/>
  <c r="AC134" i="7"/>
  <c r="AB134" i="7"/>
  <c r="F175" i="7"/>
  <c r="H175" i="7" s="1"/>
  <c r="J175" i="7" s="1"/>
  <c r="AA134" i="7"/>
  <c r="S134" i="7"/>
  <c r="Y134" i="7"/>
  <c r="T134" i="7"/>
  <c r="E173" i="7"/>
  <c r="AI134" i="7"/>
  <c r="E180" i="7"/>
  <c r="AH134" i="7"/>
  <c r="AG134" i="7"/>
  <c r="F178" i="7"/>
  <c r="H178" i="7" s="1"/>
  <c r="J178" i="7" s="1"/>
  <c r="AE134" i="7"/>
  <c r="F184" i="7"/>
  <c r="H184" i="7" s="1"/>
  <c r="J184" i="7" s="1"/>
  <c r="AD134" i="7"/>
  <c r="Q134" i="7"/>
  <c r="U167" i="7"/>
  <c r="V167" i="7"/>
  <c r="AG167" i="7"/>
  <c r="AE167" i="7"/>
  <c r="Y167" i="7"/>
  <c r="AA167" i="7"/>
  <c r="Q167" i="7"/>
  <c r="AH167" i="7"/>
  <c r="AD167" i="7"/>
  <c r="AC167" i="7"/>
  <c r="AI167" i="7"/>
  <c r="AF167" i="7"/>
  <c r="AB167" i="7"/>
  <c r="X167" i="7"/>
  <c r="Z167" i="7"/>
  <c r="T167" i="7"/>
  <c r="S167" i="7"/>
  <c r="R167" i="7"/>
  <c r="W167" i="7"/>
  <c r="AK167" i="7"/>
  <c r="AL167" i="7"/>
  <c r="AJ167" i="7"/>
  <c r="H110" i="11"/>
  <c r="P69" i="8"/>
  <c r="I139" i="7"/>
  <c r="J139" i="7" s="1"/>
  <c r="J286" i="7"/>
  <c r="O72" i="8"/>
  <c r="O69" i="8" s="1"/>
  <c r="Q48" i="8"/>
  <c r="I111" i="11"/>
  <c r="H81" i="11"/>
  <c r="I150" i="7"/>
  <c r="AM48" i="8"/>
  <c r="AN51" i="8"/>
  <c r="K51" i="8"/>
  <c r="K105" i="11" s="1"/>
  <c r="V140" i="7"/>
  <c r="W140" i="7"/>
  <c r="T140" i="7"/>
  <c r="AK140" i="7"/>
  <c r="R140" i="7"/>
  <c r="AJ140" i="7"/>
  <c r="AH140" i="7"/>
  <c r="Q140" i="7"/>
  <c r="AC140" i="7"/>
  <c r="AB140" i="7"/>
  <c r="AA140" i="7"/>
  <c r="Z140" i="7"/>
  <c r="AE140" i="7"/>
  <c r="AG140" i="7"/>
  <c r="AD140" i="7"/>
  <c r="AF140" i="7"/>
  <c r="AI140" i="7"/>
  <c r="Y140" i="7"/>
  <c r="AL140" i="7"/>
  <c r="X140" i="7"/>
  <c r="U140" i="7"/>
  <c r="S140" i="7"/>
  <c r="AQ51" i="8"/>
  <c r="AQ48" i="8" s="1"/>
  <c r="AH57" i="8"/>
  <c r="X152" i="7"/>
  <c r="S152" i="7"/>
  <c r="Q152" i="7"/>
  <c r="AH152" i="7"/>
  <c r="U152" i="7"/>
  <c r="AL152" i="7"/>
  <c r="AJ152" i="7"/>
  <c r="AK152" i="7"/>
  <c r="AF152" i="7"/>
  <c r="AI152" i="7"/>
  <c r="AG152" i="7"/>
  <c r="Y152" i="7"/>
  <c r="AE152" i="7"/>
  <c r="AD152" i="7"/>
  <c r="AA152" i="7"/>
  <c r="Z152" i="7"/>
  <c r="W152" i="7"/>
  <c r="AC152" i="7"/>
  <c r="AB152" i="7"/>
  <c r="V152" i="7"/>
  <c r="T152" i="7"/>
  <c r="R152" i="7"/>
  <c r="AJ136" i="7"/>
  <c r="AE136" i="7"/>
  <c r="AC136" i="7"/>
  <c r="W136" i="7"/>
  <c r="AK136" i="7"/>
  <c r="AA136" i="7"/>
  <c r="U136" i="7"/>
  <c r="S136" i="7"/>
  <c r="R136" i="7"/>
  <c r="AL136" i="7"/>
  <c r="Z136" i="7"/>
  <c r="AF136" i="7"/>
  <c r="AB136" i="7"/>
  <c r="AD136" i="7"/>
  <c r="X136" i="7"/>
  <c r="V136" i="7"/>
  <c r="T136" i="7"/>
  <c r="Q136" i="7"/>
  <c r="AI136" i="7"/>
  <c r="AH136" i="7"/>
  <c r="AG136" i="7"/>
  <c r="Y136" i="7"/>
  <c r="AL49" i="8"/>
  <c r="AL50" i="8"/>
  <c r="H119" i="11"/>
  <c r="H390" i="7"/>
  <c r="G401" i="7" s="1"/>
  <c r="I155" i="7"/>
  <c r="J155" i="7" s="1"/>
  <c r="F190" i="7" s="1"/>
  <c r="H190" i="7" s="1"/>
  <c r="J190" i="7" s="1"/>
  <c r="AA50" i="8"/>
  <c r="AA49" i="8"/>
  <c r="AR69" i="8"/>
  <c r="I167" i="7"/>
  <c r="J167" i="7" s="1"/>
  <c r="M48" i="8"/>
  <c r="H84" i="11"/>
  <c r="I161" i="7"/>
  <c r="J161" i="7" s="1"/>
  <c r="O101" i="6"/>
  <c r="O103" i="6" s="1"/>
  <c r="K49" i="8"/>
  <c r="AI141" i="7"/>
  <c r="AL141" i="7"/>
  <c r="AJ141" i="7"/>
  <c r="AC141" i="7"/>
  <c r="AF141" i="7"/>
  <c r="AD141" i="7"/>
  <c r="S141" i="7"/>
  <c r="Q141" i="7"/>
  <c r="AG141" i="7"/>
  <c r="AE141" i="7"/>
  <c r="AB141" i="7"/>
  <c r="AA141" i="7"/>
  <c r="V141" i="7"/>
  <c r="U141" i="7"/>
  <c r="T141" i="7"/>
  <c r="R141" i="7"/>
  <c r="W141" i="7"/>
  <c r="AH141" i="7"/>
  <c r="Z141" i="7"/>
  <c r="AK141" i="7"/>
  <c r="Y141" i="7"/>
  <c r="X141" i="7"/>
  <c r="Z48" i="8"/>
  <c r="AP49" i="8"/>
  <c r="AP48" i="8" s="1"/>
  <c r="AN49" i="8"/>
  <c r="W48" i="8"/>
  <c r="E100" i="7"/>
  <c r="H100" i="7" s="1"/>
  <c r="AC149" i="7"/>
  <c r="T149" i="7"/>
  <c r="R149" i="7"/>
  <c r="AI149" i="7"/>
  <c r="AG149" i="7"/>
  <c r="Y149" i="7"/>
  <c r="W149" i="7"/>
  <c r="AJ149" i="7"/>
  <c r="AH149" i="7"/>
  <c r="AF149" i="7"/>
  <c r="AD149" i="7"/>
  <c r="AE149" i="7"/>
  <c r="V149" i="7"/>
  <c r="U149" i="7"/>
  <c r="Q149" i="7"/>
  <c r="S149" i="7"/>
  <c r="AL149" i="7"/>
  <c r="AK149" i="7"/>
  <c r="AB149" i="7"/>
  <c r="AA149" i="7"/>
  <c r="Z149" i="7"/>
  <c r="X149" i="7"/>
  <c r="N198" i="6"/>
  <c r="AC51" i="8"/>
  <c r="K116" i="11" s="1"/>
  <c r="I110" i="11"/>
  <c r="P48" i="8"/>
  <c r="H113" i="11"/>
  <c r="I142" i="7"/>
  <c r="J142" i="7" s="1"/>
  <c r="N137" i="6"/>
  <c r="N141" i="6"/>
  <c r="AD144" i="7"/>
  <c r="AK144" i="7"/>
  <c r="AI144" i="7"/>
  <c r="AB144" i="7"/>
  <c r="AA144" i="7"/>
  <c r="T144" i="7"/>
  <c r="R144" i="7"/>
  <c r="Q144" i="7"/>
  <c r="W144" i="7"/>
  <c r="V144" i="7"/>
  <c r="U144" i="7"/>
  <c r="S144" i="7"/>
  <c r="AL144" i="7"/>
  <c r="AH144" i="7"/>
  <c r="AJ144" i="7"/>
  <c r="AG144" i="7"/>
  <c r="AF144" i="7"/>
  <c r="AE144" i="7"/>
  <c r="AC144" i="7"/>
  <c r="Y144" i="7"/>
  <c r="X144" i="7"/>
  <c r="Z144" i="7"/>
  <c r="C64" i="6"/>
  <c r="N201" i="6" s="1"/>
  <c r="F199" i="6"/>
  <c r="C199" i="6" s="1"/>
  <c r="F173" i="6"/>
  <c r="C173" i="6" s="1"/>
  <c r="E102" i="7"/>
  <c r="I102" i="7" s="1"/>
  <c r="H102" i="7"/>
  <c r="M72" i="8"/>
  <c r="M69" i="8" s="1"/>
  <c r="U69" i="8"/>
  <c r="H75" i="11"/>
  <c r="I144" i="7"/>
  <c r="J144" i="7" s="1"/>
  <c r="AO51" i="8"/>
  <c r="O49" i="8"/>
  <c r="AG151" i="7"/>
  <c r="AA151" i="7"/>
  <c r="Y151" i="7"/>
  <c r="S151" i="7"/>
  <c r="X151" i="7"/>
  <c r="Q151" i="7"/>
  <c r="AL151" i="7"/>
  <c r="AE151" i="7"/>
  <c r="AD151" i="7"/>
  <c r="AC151" i="7"/>
  <c r="Z151" i="7"/>
  <c r="W151" i="7"/>
  <c r="AB151" i="7"/>
  <c r="AF151" i="7"/>
  <c r="V151" i="7"/>
  <c r="U151" i="7"/>
  <c r="AI151" i="7"/>
  <c r="AH151" i="7"/>
  <c r="T151" i="7"/>
  <c r="R151" i="7"/>
  <c r="AK151" i="7"/>
  <c r="AJ151" i="7"/>
  <c r="H83" i="11"/>
  <c r="I160" i="7"/>
  <c r="J160" i="7" s="1"/>
  <c r="H120" i="11"/>
  <c r="H391" i="7"/>
  <c r="G402" i="7" s="1"/>
  <c r="I156" i="7"/>
  <c r="J156" i="7" s="1"/>
  <c r="H116" i="11"/>
  <c r="AC69" i="8"/>
  <c r="H387" i="7"/>
  <c r="G398" i="7" s="1"/>
  <c r="I152" i="7"/>
  <c r="J152" i="7" s="1"/>
  <c r="E104" i="7"/>
  <c r="H104" i="7" s="1"/>
  <c r="H105" i="7"/>
  <c r="E105" i="7"/>
  <c r="AE51" i="8"/>
  <c r="K118" i="11" s="1"/>
  <c r="O198" i="6"/>
  <c r="AJ44" i="8"/>
  <c r="AJ50" i="8" s="1"/>
  <c r="AJ49" i="8"/>
  <c r="AF72" i="8"/>
  <c r="AF69" i="8" s="1"/>
  <c r="K270" i="7"/>
  <c r="K288" i="7"/>
  <c r="K267" i="7"/>
  <c r="K272" i="7"/>
  <c r="K264" i="7"/>
  <c r="K271" i="7"/>
  <c r="K278" i="7"/>
  <c r="K283" i="7"/>
  <c r="K274" i="7"/>
  <c r="K277" i="7"/>
  <c r="K292" i="7"/>
  <c r="K275" i="7"/>
  <c r="K291" i="7"/>
  <c r="K281" i="7"/>
  <c r="K293" i="7"/>
  <c r="K282" i="7"/>
  <c r="K261" i="7"/>
  <c r="K265" i="7"/>
  <c r="K280" i="7"/>
  <c r="K273" i="7"/>
  <c r="K289" i="7"/>
  <c r="K279" i="7"/>
  <c r="K266" i="7"/>
  <c r="K294" i="7"/>
  <c r="K285" i="7"/>
  <c r="K269" i="7"/>
  <c r="S72" i="8"/>
  <c r="S69" i="8" s="1"/>
  <c r="N44" i="8"/>
  <c r="N50" i="8" s="1"/>
  <c r="J108" i="11" s="1"/>
  <c r="C71" i="6"/>
  <c r="F180" i="6"/>
  <c r="C180" i="6" s="1"/>
  <c r="F206" i="6"/>
  <c r="C206" i="6" s="1"/>
  <c r="N197" i="6"/>
  <c r="O197" i="6"/>
  <c r="I112" i="11"/>
  <c r="I97" i="7"/>
  <c r="J275" i="7"/>
  <c r="J269" i="7"/>
  <c r="J272" i="7"/>
  <c r="J288" i="7"/>
  <c r="J274" i="7"/>
  <c r="J270" i="7"/>
  <c r="J277" i="7"/>
  <c r="J266" i="7"/>
  <c r="J273" i="7"/>
  <c r="J285" i="7"/>
  <c r="J291" i="7"/>
  <c r="J293" i="7"/>
  <c r="J282" i="7"/>
  <c r="J280" i="7"/>
  <c r="J267" i="7"/>
  <c r="J261" i="7"/>
  <c r="J265" i="7"/>
  <c r="J271" i="7"/>
  <c r="J278" i="7"/>
  <c r="J294" i="7"/>
  <c r="J289" i="7"/>
  <c r="J279" i="7"/>
  <c r="J281" i="7"/>
  <c r="J283" i="7"/>
  <c r="J292" i="7"/>
  <c r="J264" i="7"/>
  <c r="I116" i="11"/>
  <c r="J284" i="7"/>
  <c r="AP51" i="8"/>
  <c r="AK72" i="8"/>
  <c r="AK69" i="8" s="1"/>
  <c r="AB154" i="7"/>
  <c r="Z154" i="7"/>
  <c r="X154" i="7"/>
  <c r="R154" i="7"/>
  <c r="AL154" i="7"/>
  <c r="AE154" i="7"/>
  <c r="AC154" i="7"/>
  <c r="W154" i="7"/>
  <c r="V154" i="7"/>
  <c r="U154" i="7"/>
  <c r="S154" i="7"/>
  <c r="T154" i="7"/>
  <c r="AG154" i="7"/>
  <c r="AF154" i="7"/>
  <c r="AD154" i="7"/>
  <c r="Y154" i="7"/>
  <c r="Q154" i="7"/>
  <c r="AA154" i="7"/>
  <c r="AK154" i="7"/>
  <c r="AI154" i="7"/>
  <c r="AH154" i="7"/>
  <c r="AJ154" i="7"/>
  <c r="AG72" i="8"/>
  <c r="AG69" i="8" s="1"/>
  <c r="AE72" i="8"/>
  <c r="AE67" i="8"/>
  <c r="AE71" i="8" s="1"/>
  <c r="AE70" i="8" s="1"/>
  <c r="AE57" i="8"/>
  <c r="AC72" i="8"/>
  <c r="E106" i="7"/>
  <c r="H106" i="7" s="1"/>
  <c r="AH146" i="7"/>
  <c r="U146" i="7"/>
  <c r="S146" i="7"/>
  <c r="AJ146" i="7"/>
  <c r="T146" i="7"/>
  <c r="AL146" i="7"/>
  <c r="AI146" i="7"/>
  <c r="Q146" i="7"/>
  <c r="X146" i="7"/>
  <c r="W146" i="7"/>
  <c r="V146" i="7"/>
  <c r="R146" i="7"/>
  <c r="AB146" i="7"/>
  <c r="AK146" i="7"/>
  <c r="AC146" i="7"/>
  <c r="AA146" i="7"/>
  <c r="AG146" i="7"/>
  <c r="AF146" i="7"/>
  <c r="AE146" i="7"/>
  <c r="AD146" i="7"/>
  <c r="Z146" i="7"/>
  <c r="Y146" i="7"/>
  <c r="AH44" i="8"/>
  <c r="AH50" i="8" s="1"/>
  <c r="J121" i="11" s="1"/>
  <c r="Z164" i="7"/>
  <c r="V164" i="7"/>
  <c r="AD164" i="7"/>
  <c r="AB164" i="7"/>
  <c r="T164" i="7"/>
  <c r="AJ164" i="7"/>
  <c r="AA164" i="7"/>
  <c r="X164" i="7"/>
  <c r="AE164" i="7"/>
  <c r="Y164" i="7"/>
  <c r="W164" i="7"/>
  <c r="AH164" i="7"/>
  <c r="AL164" i="7"/>
  <c r="AK164" i="7"/>
  <c r="R164" i="7"/>
  <c r="Q164" i="7"/>
  <c r="AF164" i="7"/>
  <c r="AC164" i="7"/>
  <c r="AI164" i="7"/>
  <c r="AG164" i="7"/>
  <c r="U164" i="7"/>
  <c r="S164" i="7"/>
  <c r="AI51" i="8"/>
  <c r="K122" i="11" s="1"/>
  <c r="H109" i="11"/>
  <c r="I138" i="7"/>
  <c r="J138" i="7" s="1"/>
  <c r="H86" i="11"/>
  <c r="AN69" i="8"/>
  <c r="I163" i="7"/>
  <c r="E97" i="7"/>
  <c r="H97" i="7"/>
  <c r="AN72" i="8"/>
  <c r="AA72" i="8"/>
  <c r="AA69" i="8" s="1"/>
  <c r="AL51" i="8"/>
  <c r="O137" i="6"/>
  <c r="O141" i="6"/>
  <c r="E103" i="7"/>
  <c r="I103" i="7" s="1"/>
  <c r="H103" i="7"/>
  <c r="H107" i="11"/>
  <c r="I136" i="7"/>
  <c r="J136" i="7" s="1"/>
  <c r="T49" i="8"/>
  <c r="J268" i="7"/>
  <c r="AF51" i="8"/>
  <c r="K119" i="11" s="1"/>
  <c r="U48" i="8"/>
  <c r="H78" i="11"/>
  <c r="I147" i="7"/>
  <c r="J147" i="7" s="1"/>
  <c r="X72" i="8"/>
  <c r="X69" i="8" s="1"/>
  <c r="J290" i="7"/>
  <c r="E99" i="7"/>
  <c r="H99" i="7" s="1"/>
  <c r="V162" i="7"/>
  <c r="AL162" i="7"/>
  <c r="S162" i="7"/>
  <c r="Q162" i="7"/>
  <c r="AH162" i="7"/>
  <c r="AF162" i="7"/>
  <c r="AD162" i="7"/>
  <c r="Z162" i="7"/>
  <c r="X162" i="7"/>
  <c r="W162" i="7"/>
  <c r="AK162" i="7"/>
  <c r="AJ162" i="7"/>
  <c r="AI162" i="7"/>
  <c r="AE162" i="7"/>
  <c r="AG162" i="7"/>
  <c r="U162" i="7"/>
  <c r="T162" i="7"/>
  <c r="R162" i="7"/>
  <c r="AC162" i="7"/>
  <c r="AB162" i="7"/>
  <c r="AA162" i="7"/>
  <c r="Y162" i="7"/>
  <c r="R138" i="7"/>
  <c r="AL138" i="7"/>
  <c r="AJ138" i="7"/>
  <c r="AD138" i="7"/>
  <c r="AA138" i="7"/>
  <c r="T138" i="7"/>
  <c r="S138" i="7"/>
  <c r="V138" i="7"/>
  <c r="U138" i="7"/>
  <c r="Q138" i="7"/>
  <c r="AC138" i="7"/>
  <c r="AB138" i="7"/>
  <c r="Z138" i="7"/>
  <c r="W138" i="7"/>
  <c r="Y138" i="7"/>
  <c r="X138" i="7"/>
  <c r="AH138" i="7"/>
  <c r="AG138" i="7"/>
  <c r="AF138" i="7"/>
  <c r="AK138" i="7"/>
  <c r="AI138" i="7"/>
  <c r="AE138" i="7"/>
  <c r="Z142" i="7"/>
  <c r="AD142" i="7"/>
  <c r="AB142" i="7"/>
  <c r="U142" i="7"/>
  <c r="AK142" i="7"/>
  <c r="AC142" i="7"/>
  <c r="Y142" i="7"/>
  <c r="Q142" i="7"/>
  <c r="AL142" i="7"/>
  <c r="AJ142" i="7"/>
  <c r="AI142" i="7"/>
  <c r="AG142" i="7"/>
  <c r="AH142" i="7"/>
  <c r="AF142" i="7"/>
  <c r="AE142" i="7"/>
  <c r="W142" i="7"/>
  <c r="AA142" i="7"/>
  <c r="X142" i="7"/>
  <c r="S142" i="7"/>
  <c r="R142" i="7"/>
  <c r="V142" i="7"/>
  <c r="T142" i="7"/>
  <c r="N20" i="6"/>
  <c r="J101" i="7" l="1"/>
  <c r="F182" i="7"/>
  <c r="H182" i="7" s="1"/>
  <c r="J182" i="7" s="1"/>
  <c r="I108" i="7"/>
  <c r="AR48" i="8"/>
  <c r="I100" i="7"/>
  <c r="I106" i="7"/>
  <c r="J162" i="7"/>
  <c r="J106" i="7"/>
  <c r="J102" i="7"/>
  <c r="R48" i="8"/>
  <c r="H122" i="7"/>
  <c r="J121" i="7"/>
  <c r="J108" i="7"/>
  <c r="J163" i="7"/>
  <c r="F185" i="7" s="1"/>
  <c r="H185" i="7" s="1"/>
  <c r="J185" i="7" s="1"/>
  <c r="I99" i="7"/>
  <c r="J99" i="7" s="1"/>
  <c r="F181" i="7"/>
  <c r="H181" i="7" s="1"/>
  <c r="J181" i="7" s="1"/>
  <c r="L51" i="8"/>
  <c r="K106" i="11" s="1"/>
  <c r="F176" i="7"/>
  <c r="H176" i="7" s="1"/>
  <c r="J176" i="7" s="1"/>
  <c r="AF49" i="8"/>
  <c r="AF48" i="8" s="1"/>
  <c r="F229" i="7"/>
  <c r="N211" i="6"/>
  <c r="N205" i="6"/>
  <c r="AA48" i="8"/>
  <c r="P105" i="11"/>
  <c r="P106" i="11"/>
  <c r="P111" i="11"/>
  <c r="P119" i="11"/>
  <c r="P112" i="11"/>
  <c r="P113" i="11"/>
  <c r="P121" i="11"/>
  <c r="P116" i="11"/>
  <c r="P117" i="11"/>
  <c r="P108" i="11"/>
  <c r="P110" i="11"/>
  <c r="P122" i="11"/>
  <c r="P109" i="11"/>
  <c r="P120" i="11"/>
  <c r="P118" i="11"/>
  <c r="AG49" i="8"/>
  <c r="N161" i="6"/>
  <c r="N162" i="6"/>
  <c r="N196" i="6" s="1"/>
  <c r="N143" i="6"/>
  <c r="N145" i="6" s="1"/>
  <c r="J26" i="9" s="1"/>
  <c r="O201" i="6"/>
  <c r="AG51" i="8"/>
  <c r="K120" i="11" s="1"/>
  <c r="H227" i="7"/>
  <c r="H228" i="7"/>
  <c r="H226" i="7"/>
  <c r="O211" i="6"/>
  <c r="Q261" i="7"/>
  <c r="K295" i="7"/>
  <c r="K159" i="7"/>
  <c r="J17" i="10"/>
  <c r="J107" i="7"/>
  <c r="N208" i="6"/>
  <c r="N214" i="6"/>
  <c r="AJ51" i="8"/>
  <c r="AJ48" i="8" s="1"/>
  <c r="N49" i="8"/>
  <c r="J103" i="7"/>
  <c r="K156" i="7"/>
  <c r="P107" i="11"/>
  <c r="N203" i="6"/>
  <c r="O203" i="6"/>
  <c r="O210" i="6"/>
  <c r="N210" i="6"/>
  <c r="I105" i="11"/>
  <c r="K48" i="8"/>
  <c r="J26" i="10"/>
  <c r="J98" i="7"/>
  <c r="AH49" i="8"/>
  <c r="O207" i="6"/>
  <c r="AB12" i="8" s="1"/>
  <c r="AH51" i="8"/>
  <c r="K121" i="11" s="1"/>
  <c r="P114" i="11"/>
  <c r="I60" i="6" a="1"/>
  <c r="O205" i="6"/>
  <c r="I118" i="11"/>
  <c r="AE48" i="8"/>
  <c r="I193" i="6" a="1"/>
  <c r="J97" i="7"/>
  <c r="AL48" i="8"/>
  <c r="J18" i="9"/>
  <c r="J295" i="7"/>
  <c r="P261" i="7"/>
  <c r="N206" i="6"/>
  <c r="O206" i="6"/>
  <c r="O209" i="6"/>
  <c r="AJ72" i="8"/>
  <c r="H82" i="11"/>
  <c r="AJ69" i="8"/>
  <c r="I159" i="7"/>
  <c r="J159" i="7" s="1"/>
  <c r="F177" i="7" s="1"/>
  <c r="H177" i="7" s="1"/>
  <c r="J177" i="7" s="1"/>
  <c r="B10" i="4"/>
  <c r="Q10" i="8" s="1"/>
  <c r="W13" i="8"/>
  <c r="Q9" i="8"/>
  <c r="AO13" i="8"/>
  <c r="S9" i="8"/>
  <c r="AO10" i="8"/>
  <c r="AK10" i="8"/>
  <c r="AK12" i="8"/>
  <c r="AJ9" i="8"/>
  <c r="J9" i="10"/>
  <c r="Z13" i="8"/>
  <c r="AF9" i="8"/>
  <c r="X9" i="8"/>
  <c r="K12" i="8"/>
  <c r="R9" i="8"/>
  <c r="AI9" i="8"/>
  <c r="W9" i="8"/>
  <c r="K160" i="7"/>
  <c r="AN10" i="8"/>
  <c r="AQ13" i="8"/>
  <c r="U9" i="8"/>
  <c r="L10" i="8"/>
  <c r="J18" i="10"/>
  <c r="AP12" i="8"/>
  <c r="K161" i="7"/>
  <c r="AR9" i="8"/>
  <c r="X10" i="8"/>
  <c r="AN12" i="8"/>
  <c r="K147" i="7"/>
  <c r="AQ12" i="8"/>
  <c r="K144" i="7"/>
  <c r="K162" i="7"/>
  <c r="AE9" i="8"/>
  <c r="Y13" i="8"/>
  <c r="N10" i="8"/>
  <c r="L9" i="8"/>
  <c r="AL10" i="8"/>
  <c r="K146" i="7"/>
  <c r="AC10" i="8"/>
  <c r="AL12" i="8"/>
  <c r="K152" i="7"/>
  <c r="K165" i="7"/>
  <c r="K138" i="7"/>
  <c r="N9" i="8"/>
  <c r="P9" i="8"/>
  <c r="AR10" i="8"/>
  <c r="AF10" i="8"/>
  <c r="J8" i="10"/>
  <c r="K140" i="7"/>
  <c r="K9" i="8"/>
  <c r="K151" i="7"/>
  <c r="J12" i="8"/>
  <c r="AI10" i="8"/>
  <c r="V9" i="8"/>
  <c r="J17" i="9"/>
  <c r="AM13" i="8"/>
  <c r="AJ13" i="8"/>
  <c r="AR12" i="8"/>
  <c r="V13" i="8"/>
  <c r="K158" i="7"/>
  <c r="K142" i="7"/>
  <c r="U12" i="8"/>
  <c r="J8" i="9"/>
  <c r="Y9" i="8"/>
  <c r="J9" i="9"/>
  <c r="Z12" i="8"/>
  <c r="AH10" i="8"/>
  <c r="AP9" i="8"/>
  <c r="I10" i="8"/>
  <c r="P10" i="8"/>
  <c r="Z10" i="8"/>
  <c r="AA13" i="8"/>
  <c r="AM10" i="8"/>
  <c r="AM9" i="8"/>
  <c r="U13" i="8"/>
  <c r="AB9" i="8"/>
  <c r="J27" i="10"/>
  <c r="K150" i="7"/>
  <c r="N202" i="6"/>
  <c r="O162" i="6"/>
  <c r="O196" i="6" s="1"/>
  <c r="O143" i="6"/>
  <c r="O145" i="6"/>
  <c r="O161" i="6"/>
  <c r="O214" i="6"/>
  <c r="AI12" i="8" s="1"/>
  <c r="O48" i="8"/>
  <c r="I109" i="11"/>
  <c r="I104" i="7"/>
  <c r="J104" i="7" s="1"/>
  <c r="J100" i="7"/>
  <c r="AI48" i="8"/>
  <c r="N207" i="6"/>
  <c r="S48" i="8"/>
  <c r="I113" i="11"/>
  <c r="J105" i="7"/>
  <c r="AN48" i="8"/>
  <c r="O213" i="6"/>
  <c r="N213" i="6"/>
  <c r="K153" i="7"/>
  <c r="O204" i="6"/>
  <c r="H118" i="11"/>
  <c r="AE69" i="8"/>
  <c r="H389" i="7"/>
  <c r="G400" i="7" s="1"/>
  <c r="I154" i="7"/>
  <c r="J154" i="7" s="1"/>
  <c r="O199" i="6"/>
  <c r="N199" i="6"/>
  <c r="F249" i="7"/>
  <c r="F250" i="7" s="1"/>
  <c r="N200" i="6"/>
  <c r="O200" i="6"/>
  <c r="T48" i="8"/>
  <c r="I114" i="11"/>
  <c r="O208" i="6"/>
  <c r="O212" i="6"/>
  <c r="O202" i="6"/>
  <c r="P12" i="8" s="1"/>
  <c r="N209" i="6"/>
  <c r="N204" i="6"/>
  <c r="AC48" i="8"/>
  <c r="N51" i="8"/>
  <c r="K108" i="11" s="1"/>
  <c r="AO48" i="8"/>
  <c r="L49" i="8"/>
  <c r="I119" i="11" l="1"/>
  <c r="H123" i="7"/>
  <c r="J122" i="7"/>
  <c r="E181" i="7"/>
  <c r="J28" i="10"/>
  <c r="J32" i="10" s="1"/>
  <c r="J40" i="9" s="1"/>
  <c r="M26" i="9"/>
  <c r="J193" i="6"/>
  <c r="L193" i="6"/>
  <c r="O193" i="6"/>
  <c r="N193" i="6"/>
  <c r="M193" i="6"/>
  <c r="K193" i="6"/>
  <c r="I193" i="6"/>
  <c r="J65" i="10"/>
  <c r="J62" i="10" s="1"/>
  <c r="J68" i="10"/>
  <c r="J10" i="10"/>
  <c r="J14" i="10" s="1"/>
  <c r="K167" i="7"/>
  <c r="J76" i="9"/>
  <c r="M9" i="9"/>
  <c r="J10" i="9"/>
  <c r="M10" i="9" s="1"/>
  <c r="K145" i="7"/>
  <c r="E177" i="7" s="1"/>
  <c r="AD12" i="8"/>
  <c r="AK9" i="8"/>
  <c r="K166" i="7"/>
  <c r="E178" i="7" s="1"/>
  <c r="AJ10" i="8"/>
  <c r="AO9" i="8"/>
  <c r="K141" i="7"/>
  <c r="I151" i="6" a="1"/>
  <c r="I2" i="6" a="1"/>
  <c r="AL13" i="8"/>
  <c r="M12" i="8"/>
  <c r="I106" i="11"/>
  <c r="L48" i="8"/>
  <c r="I167" i="6" a="1"/>
  <c r="R12" i="8"/>
  <c r="W12" i="8"/>
  <c r="R10" i="8"/>
  <c r="AE10" i="8"/>
  <c r="AG12" i="8"/>
  <c r="M9" i="8"/>
  <c r="J19" i="9"/>
  <c r="M19" i="9" s="1"/>
  <c r="M18" i="9"/>
  <c r="E176" i="7"/>
  <c r="O60" i="6"/>
  <c r="N60" i="6"/>
  <c r="M60" i="6"/>
  <c r="L60" i="6"/>
  <c r="K60" i="6"/>
  <c r="J60" i="6"/>
  <c r="I60" i="6"/>
  <c r="T12" i="8"/>
  <c r="N195" i="6"/>
  <c r="N160" i="6"/>
  <c r="I159" i="6" a="1"/>
  <c r="U10" i="8"/>
  <c r="AQ10" i="8"/>
  <c r="M8" i="9"/>
  <c r="J14" i="9"/>
  <c r="M14" i="9" s="1"/>
  <c r="Y10" i="8"/>
  <c r="O10" i="8"/>
  <c r="AG9" i="8"/>
  <c r="AA10" i="8"/>
  <c r="J10" i="8"/>
  <c r="O12" i="8"/>
  <c r="K164" i="7"/>
  <c r="J19" i="10"/>
  <c r="J23" i="10" s="1"/>
  <c r="J39" i="9" s="1"/>
  <c r="AD10" i="8"/>
  <c r="AA9" i="8"/>
  <c r="AK13" i="8"/>
  <c r="W10" i="8"/>
  <c r="AE12" i="8"/>
  <c r="AP10" i="8"/>
  <c r="I108" i="11"/>
  <c r="N48" i="8"/>
  <c r="AG10" i="8"/>
  <c r="T9" i="8"/>
  <c r="AC9" i="8"/>
  <c r="AG48" i="8"/>
  <c r="I120" i="11"/>
  <c r="K148" i="7"/>
  <c r="S10" i="8"/>
  <c r="J9" i="8"/>
  <c r="J35" i="10"/>
  <c r="AF12" i="8"/>
  <c r="AA12" i="8"/>
  <c r="J27" i="9"/>
  <c r="K137" i="7"/>
  <c r="E179" i="7" s="1"/>
  <c r="AN13" i="8"/>
  <c r="K134" i="7"/>
  <c r="M10" i="8"/>
  <c r="AD9" i="8"/>
  <c r="I9" i="8"/>
  <c r="AC12" i="8"/>
  <c r="J23" i="9"/>
  <c r="J35" i="9"/>
  <c r="M35" i="9" s="1"/>
  <c r="M17" i="9"/>
  <c r="K149" i="7"/>
  <c r="K10" i="8"/>
  <c r="X13" i="8"/>
  <c r="X12" i="8"/>
  <c r="I19" i="6" a="1"/>
  <c r="Y12" i="8"/>
  <c r="V10" i="8"/>
  <c r="T10" i="8"/>
  <c r="AO12" i="8"/>
  <c r="K163" i="7"/>
  <c r="E185" i="7" s="1"/>
  <c r="I121" i="11"/>
  <c r="AH48" i="8"/>
  <c r="K135" i="7"/>
  <c r="K157" i="7"/>
  <c r="E191" i="7" s="1"/>
  <c r="AH12" i="8"/>
  <c r="AB10" i="8"/>
  <c r="AH9" i="8"/>
  <c r="AP13" i="8"/>
  <c r="K155" i="7"/>
  <c r="E190" i="7" s="1"/>
  <c r="K139" i="7"/>
  <c r="V12" i="8"/>
  <c r="K136" i="7"/>
  <c r="L12" i="8"/>
  <c r="J36" i="10"/>
  <c r="AM12" i="8"/>
  <c r="O9" i="8"/>
  <c r="AL9" i="8"/>
  <c r="AQ9" i="8"/>
  <c r="K154" i="7"/>
  <c r="N12" i="8"/>
  <c r="Q12" i="8"/>
  <c r="O160" i="6"/>
  <c r="O195" i="6"/>
  <c r="AJ12" i="8"/>
  <c r="AR13" i="8"/>
  <c r="Z9" i="8"/>
  <c r="K143" i="7"/>
  <c r="E192" i="7" s="1"/>
  <c r="AN9" i="8"/>
  <c r="S12" i="8"/>
  <c r="H124" i="7" l="1"/>
  <c r="J123" i="7"/>
  <c r="J149" i="7"/>
  <c r="F187" i="7" s="1"/>
  <c r="H187" i="7" s="1"/>
  <c r="J187" i="7" s="1"/>
  <c r="G226" i="7"/>
  <c r="I226" i="7" s="1"/>
  <c r="J97" i="10" s="1"/>
  <c r="G227" i="7"/>
  <c r="I227" i="7" s="1"/>
  <c r="J98" i="10" s="1"/>
  <c r="G248" i="7"/>
  <c r="G228" i="7"/>
  <c r="I228" i="7" s="1"/>
  <c r="J99" i="10" s="1"/>
  <c r="G249" i="7"/>
  <c r="M23" i="9"/>
  <c r="E187" i="7"/>
  <c r="K2" i="6"/>
  <c r="O2" i="6"/>
  <c r="N2" i="6"/>
  <c r="M2" i="6"/>
  <c r="L2" i="6"/>
  <c r="J2" i="6"/>
  <c r="I2" i="6"/>
  <c r="L19" i="6"/>
  <c r="N19" i="6"/>
  <c r="M19" i="6"/>
  <c r="K19" i="6"/>
  <c r="J19" i="6"/>
  <c r="I19" i="6"/>
  <c r="O19" i="6"/>
  <c r="E174" i="7"/>
  <c r="J167" i="6"/>
  <c r="O167" i="6"/>
  <c r="L167" i="6"/>
  <c r="K167" i="6"/>
  <c r="I167" i="6"/>
  <c r="N167" i="6"/>
  <c r="M167" i="6"/>
  <c r="J78" i="9"/>
  <c r="J70" i="10"/>
  <c r="J71" i="10" s="1"/>
  <c r="J76" i="10" s="1"/>
  <c r="L159" i="6"/>
  <c r="J159" i="6"/>
  <c r="M159" i="6"/>
  <c r="N159" i="6"/>
  <c r="K159" i="6"/>
  <c r="I159" i="6"/>
  <c r="O159" i="6"/>
  <c r="M39" i="9"/>
  <c r="J43" i="9"/>
  <c r="M43" i="9" s="1"/>
  <c r="M40" i="9"/>
  <c r="J44" i="9"/>
  <c r="M44" i="9" s="1"/>
  <c r="J43" i="10"/>
  <c r="J45" i="10" s="1"/>
  <c r="J42" i="10"/>
  <c r="H9" i="8"/>
  <c r="AV9" i="8" s="1"/>
  <c r="M151" i="6"/>
  <c r="K151" i="6"/>
  <c r="O151" i="6"/>
  <c r="N151" i="6"/>
  <c r="L151" i="6"/>
  <c r="J151" i="6"/>
  <c r="I151" i="6"/>
  <c r="E182" i="7"/>
  <c r="J28" i="9"/>
  <c r="M27" i="9"/>
  <c r="O194" i="6"/>
  <c r="I12" i="8"/>
  <c r="H10" i="8"/>
  <c r="H66" i="8"/>
  <c r="N194" i="6"/>
  <c r="J36" i="9"/>
  <c r="M36" i="9" s="1"/>
  <c r="M76" i="9"/>
  <c r="H125" i="7" l="1"/>
  <c r="J124" i="7"/>
  <c r="J79" i="10"/>
  <c r="J67" i="10" s="1"/>
  <c r="M50" i="9"/>
  <c r="J51" i="9"/>
  <c r="J53" i="9" s="1"/>
  <c r="J50" i="9"/>
  <c r="F254" i="7" s="1"/>
  <c r="H12" i="8"/>
  <c r="AV12" i="8" s="1"/>
  <c r="M51" i="9"/>
  <c r="M53" i="9" s="1"/>
  <c r="O172" i="6"/>
  <c r="L13" i="8" s="1"/>
  <c r="O171" i="6"/>
  <c r="K13" i="8" s="1"/>
  <c r="O180" i="6"/>
  <c r="T13" i="8" s="1"/>
  <c r="O184" i="6"/>
  <c r="AE13" i="8" s="1"/>
  <c r="O182" i="6"/>
  <c r="AC13" i="8" s="1"/>
  <c r="O178" i="6"/>
  <c r="R13" i="8" s="1"/>
  <c r="O187" i="6"/>
  <c r="AH13" i="8" s="1"/>
  <c r="O173" i="6"/>
  <c r="M13" i="8" s="1"/>
  <c r="O177" i="6"/>
  <c r="Q13" i="8" s="1"/>
  <c r="O179" i="6"/>
  <c r="S13" i="8" s="1"/>
  <c r="O175" i="6"/>
  <c r="O13" i="8" s="1"/>
  <c r="O176" i="6"/>
  <c r="P13" i="8" s="1"/>
  <c r="O170" i="6"/>
  <c r="J13" i="8" s="1"/>
  <c r="O188" i="6"/>
  <c r="AI13" i="8" s="1"/>
  <c r="O181" i="6"/>
  <c r="AB13" i="8" s="1"/>
  <c r="O174" i="6"/>
  <c r="N13" i="8" s="1"/>
  <c r="O186" i="6"/>
  <c r="AG13" i="8" s="1"/>
  <c r="O183" i="6"/>
  <c r="AD13" i="8" s="1"/>
  <c r="O185" i="6"/>
  <c r="AF13" i="8" s="1"/>
  <c r="O169" i="6"/>
  <c r="M28" i="9"/>
  <c r="J32" i="9"/>
  <c r="M32" i="9" s="1"/>
  <c r="J55" i="10"/>
  <c r="J53" i="10" s="1"/>
  <c r="J51" i="10"/>
  <c r="J49" i="10" s="1"/>
  <c r="M78" i="9"/>
  <c r="N172" i="6"/>
  <c r="N175" i="6"/>
  <c r="N186" i="6"/>
  <c r="N171" i="6"/>
  <c r="N170" i="6"/>
  <c r="N187" i="6"/>
  <c r="N188" i="6"/>
  <c r="N183" i="6"/>
  <c r="N179" i="6"/>
  <c r="N185" i="6"/>
  <c r="N184" i="6"/>
  <c r="N176" i="6"/>
  <c r="N178" i="6"/>
  <c r="N173" i="6"/>
  <c r="N177" i="6"/>
  <c r="N181" i="6"/>
  <c r="N180" i="6"/>
  <c r="N182" i="6"/>
  <c r="N174" i="6"/>
  <c r="K98" i="10"/>
  <c r="F235" i="7" s="1"/>
  <c r="N169" i="6"/>
  <c r="K97" i="10"/>
  <c r="F234" i="7" s="1"/>
  <c r="J90" i="10"/>
  <c r="J85" i="10"/>
  <c r="F255" i="7"/>
  <c r="K99" i="10"/>
  <c r="F236" i="7" s="1"/>
  <c r="J60" i="10"/>
  <c r="J57" i="10" s="1"/>
  <c r="J125" i="7" l="1"/>
  <c r="J164" i="7"/>
  <c r="J150" i="7"/>
  <c r="H126" i="7"/>
  <c r="J126" i="7" s="1"/>
  <c r="N168" i="6"/>
  <c r="K49" i="10"/>
  <c r="K53" i="10"/>
  <c r="K57" i="10"/>
  <c r="N53" i="9"/>
  <c r="M73" i="9" s="1"/>
  <c r="M70" i="9" s="1"/>
  <c r="M59" i="9"/>
  <c r="M57" i="9" s="1"/>
  <c r="M63" i="9"/>
  <c r="M61" i="9" s="1"/>
  <c r="N61" i="9" s="1"/>
  <c r="H254" i="7"/>
  <c r="O168" i="6"/>
  <c r="I13" i="8"/>
  <c r="M98" i="9"/>
  <c r="M93" i="9"/>
  <c r="H255" i="7"/>
  <c r="J86" i="10"/>
  <c r="J91" i="10" s="1"/>
  <c r="J104" i="10" s="1"/>
  <c r="K85" i="10"/>
  <c r="J105" i="10"/>
  <c r="J98" i="9"/>
  <c r="J93" i="9"/>
  <c r="K62" i="10"/>
  <c r="K82" i="10" s="1"/>
  <c r="K53" i="9"/>
  <c r="J63" i="9"/>
  <c r="J61" i="9" s="1"/>
  <c r="K61" i="9" s="1"/>
  <c r="J59" i="9"/>
  <c r="J57" i="9" s="1"/>
  <c r="J68" i="9"/>
  <c r="J65" i="9" s="1"/>
  <c r="M68" i="9"/>
  <c r="M65" i="9" s="1"/>
  <c r="K67" i="10"/>
  <c r="G173" i="7" l="1"/>
  <c r="I173" i="7" s="1"/>
  <c r="G180" i="7"/>
  <c r="I180" i="7" s="1"/>
  <c r="G184" i="7"/>
  <c r="I184" i="7" s="1"/>
  <c r="G183" i="7"/>
  <c r="I183" i="7" s="1"/>
  <c r="G190" i="7"/>
  <c r="I190" i="7" s="1"/>
  <c r="G179" i="7"/>
  <c r="I179" i="7" s="1"/>
  <c r="G191" i="7"/>
  <c r="I191" i="7" s="1"/>
  <c r="G186" i="7"/>
  <c r="I186" i="7" s="1"/>
  <c r="F191" i="7"/>
  <c r="H191" i="7" s="1"/>
  <c r="J191" i="7" s="1"/>
  <c r="G182" i="7"/>
  <c r="I182" i="7" s="1"/>
  <c r="G188" i="7"/>
  <c r="I188" i="7" s="1"/>
  <c r="G185" i="7"/>
  <c r="I185" i="7" s="1"/>
  <c r="G176" i="7"/>
  <c r="I176" i="7" s="1"/>
  <c r="G189" i="7"/>
  <c r="I189" i="7" s="1"/>
  <c r="G181" i="7"/>
  <c r="I181" i="7" s="1"/>
  <c r="G192" i="7"/>
  <c r="I192" i="7" s="1"/>
  <c r="G187" i="7"/>
  <c r="I187" i="7" s="1"/>
  <c r="G177" i="7"/>
  <c r="I177" i="7" s="1"/>
  <c r="G174" i="7"/>
  <c r="I174" i="7" s="1"/>
  <c r="G175" i="7"/>
  <c r="I175" i="7" s="1"/>
  <c r="G178" i="7"/>
  <c r="I178" i="7" s="1"/>
  <c r="J92" i="10"/>
  <c r="J106" i="10"/>
  <c r="M103" i="9"/>
  <c r="N93" i="9"/>
  <c r="J73" i="9"/>
  <c r="J70" i="9" s="1"/>
  <c r="K70" i="9" s="1"/>
  <c r="J79" i="9"/>
  <c r="J84" i="9" s="1"/>
  <c r="J87" i="9" s="1"/>
  <c r="J75" i="9" s="1"/>
  <c r="K75" i="9" s="1"/>
  <c r="H13" i="8"/>
  <c r="H45" i="8"/>
  <c r="N65" i="9"/>
  <c r="N57" i="9"/>
  <c r="K65" i="9"/>
  <c r="N70" i="9"/>
  <c r="J94" i="9"/>
  <c r="J99" i="9" s="1"/>
  <c r="J102" i="9" s="1"/>
  <c r="K93" i="9"/>
  <c r="J103" i="9"/>
  <c r="K57" i="9"/>
  <c r="K90" i="9" s="1"/>
  <c r="M79" i="9"/>
  <c r="M84" i="9" s="1"/>
  <c r="M87" i="9" s="1"/>
  <c r="M75" i="9" s="1"/>
  <c r="N75" i="9" s="1"/>
  <c r="C5" i="11"/>
  <c r="C95" i="11"/>
  <c r="C69" i="11"/>
  <c r="M94" i="9" l="1"/>
  <c r="M99" i="9" s="1"/>
  <c r="I140" i="11"/>
  <c r="I133" i="11"/>
  <c r="I142" i="11"/>
  <c r="I132" i="11"/>
  <c r="I138" i="11"/>
  <c r="I137" i="11"/>
  <c r="I131" i="11"/>
  <c r="I148" i="11"/>
  <c r="I141" i="11"/>
  <c r="I129" i="11"/>
  <c r="I143" i="11"/>
  <c r="I130" i="11"/>
  <c r="I135" i="11"/>
  <c r="I145" i="11"/>
  <c r="I134" i="11"/>
  <c r="I146" i="11"/>
  <c r="I147" i="11"/>
  <c r="I136" i="11"/>
  <c r="I139" i="11"/>
  <c r="I144" i="11"/>
  <c r="M77" i="11"/>
  <c r="M80" i="11"/>
  <c r="M79" i="11"/>
  <c r="M85" i="11"/>
  <c r="M87" i="11"/>
  <c r="M76" i="11"/>
  <c r="M84" i="11"/>
  <c r="M81" i="11"/>
  <c r="M75" i="11"/>
  <c r="M86" i="11"/>
  <c r="M78" i="11"/>
  <c r="M83" i="11"/>
  <c r="M82" i="11"/>
  <c r="J100" i="9"/>
  <c r="M12" i="11"/>
  <c r="J104" i="9"/>
  <c r="M13" i="11"/>
  <c r="N90" i="9"/>
  <c r="C97" i="11"/>
  <c r="M102" i="9" l="1"/>
  <c r="M100" i="9"/>
  <c r="C7" i="11"/>
  <c r="M60" i="11" l="1"/>
  <c r="M59" i="11"/>
  <c r="M62" i="11"/>
  <c r="M54" i="11"/>
  <c r="M43" i="11"/>
  <c r="M32" i="11"/>
  <c r="M18" i="11"/>
  <c r="M45" i="11"/>
  <c r="M38" i="11"/>
  <c r="M61" i="11"/>
  <c r="M44" i="11"/>
  <c r="M48" i="11"/>
  <c r="M56" i="11"/>
  <c r="M104" i="9"/>
  <c r="M37" i="11"/>
  <c r="M21" i="11"/>
  <c r="M30" i="11"/>
  <c r="M58" i="11"/>
  <c r="M27" i="11"/>
  <c r="M33" i="11"/>
  <c r="M41" i="11"/>
  <c r="M19" i="11"/>
  <c r="M26" i="11"/>
  <c r="M49" i="11"/>
  <c r="M52" i="11"/>
  <c r="M34" i="11"/>
  <c r="M46" i="11"/>
  <c r="M42" i="11"/>
  <c r="M40" i="11"/>
  <c r="M35" i="11"/>
  <c r="M51" i="11"/>
  <c r="M25" i="11"/>
  <c r="M55" i="11"/>
  <c r="M47" i="11"/>
  <c r="M24" i="11"/>
  <c r="M31" i="11"/>
  <c r="M50" i="11"/>
  <c r="M29" i="11"/>
  <c r="M39" i="11"/>
  <c r="M28" i="11"/>
  <c r="M36" i="11"/>
  <c r="M53" i="11"/>
  <c r="M57" i="11"/>
  <c r="C99" i="11"/>
  <c r="M108" i="11" l="1"/>
  <c r="N108" i="11" s="1"/>
  <c r="M105" i="11"/>
  <c r="N105" i="11" s="1"/>
  <c r="M119" i="11"/>
  <c r="N119" i="11" s="1"/>
  <c r="M121" i="11"/>
  <c r="N121" i="11" s="1"/>
  <c r="M114" i="11"/>
  <c r="N114" i="11" s="1"/>
  <c r="M117" i="11"/>
  <c r="N117" i="11" s="1"/>
  <c r="M120" i="11"/>
  <c r="N120" i="11" s="1"/>
  <c r="M107" i="11"/>
  <c r="N107" i="11" s="1"/>
  <c r="M110" i="11"/>
  <c r="N110" i="11" s="1"/>
  <c r="M122" i="11"/>
  <c r="N122" i="11" s="1"/>
  <c r="M118" i="11"/>
  <c r="N118" i="11" s="1"/>
  <c r="M116" i="11"/>
  <c r="N116" i="11" s="1"/>
  <c r="M109" i="11"/>
  <c r="N109" i="11" s="1"/>
  <c r="M112" i="11"/>
  <c r="N112" i="11" s="1"/>
  <c r="M113" i="11"/>
  <c r="N113" i="11" s="1"/>
  <c r="M111" i="11"/>
  <c r="N111" i="11" s="1"/>
  <c r="M115" i="11"/>
  <c r="N115" i="11" s="1"/>
  <c r="M106" i="11"/>
  <c r="N106" i="11" s="1"/>
  <c r="N125" i="11" l="1"/>
  <c r="E199" i="7" l="1"/>
  <c r="F199" i="7" s="1"/>
  <c r="G199" i="7" s="1"/>
  <c r="E198" i="7"/>
  <c r="F198" i="7" s="1"/>
  <c r="G198" i="7" s="1"/>
  <c r="E207" i="7"/>
  <c r="F207" i="7"/>
  <c r="G207" i="7"/>
  <c r="I404" i="7"/>
  <c r="J404" i="7" s="1"/>
  <c r="E197" i="7"/>
  <c r="F197" i="7" s="1"/>
  <c r="G197" i="7" s="1"/>
  <c r="E204" i="7"/>
  <c r="F204" i="7" s="1"/>
  <c r="G204" i="7" s="1"/>
  <c r="I400" i="7" s="1"/>
  <c r="J400" i="7" s="1"/>
  <c r="E203" i="7"/>
  <c r="F203" i="7" s="1"/>
  <c r="G203" i="7" s="1"/>
  <c r="I399" i="7" s="1"/>
  <c r="J399" i="7" s="1"/>
  <c r="E196" i="7"/>
  <c r="F196" i="7" s="1"/>
  <c r="G196" i="7" s="1"/>
  <c r="E202" i="7"/>
  <c r="F202" i="7" s="1"/>
  <c r="G202" i="7" s="1"/>
  <c r="I398" i="7" s="1"/>
  <c r="J398" i="7" s="1"/>
  <c r="E206" i="7"/>
  <c r="F206" i="7" s="1"/>
  <c r="G206" i="7" s="1"/>
  <c r="E200" i="7"/>
  <c r="F200" i="7" s="1"/>
  <c r="G200" i="7" s="1"/>
  <c r="I397" i="7" s="1"/>
  <c r="J397" i="7" s="1"/>
  <c r="E201" i="7"/>
  <c r="F201" i="7" s="1"/>
  <c r="G201" i="7" s="1"/>
  <c r="E205" i="7"/>
  <c r="F205" i="7" s="1"/>
  <c r="G205" i="7" s="1"/>
  <c r="I401" i="7" s="1"/>
  <c r="J401" i="7" s="1"/>
  <c r="I403" i="7" l="1"/>
  <c r="J403" i="7" s="1"/>
  <c r="I402" i="7"/>
  <c r="J402" i="7" s="1"/>
  <c r="E234" i="7"/>
  <c r="E235" i="7"/>
  <c r="G235" i="7" s="1"/>
  <c r="E236" i="7"/>
  <c r="G236" i="7" l="1"/>
  <c r="G255" i="7"/>
  <c r="I255" i="7" s="1"/>
  <c r="G234" i="7"/>
  <c r="G254" i="7"/>
  <c r="I254" i="7" s="1"/>
  <c r="M397" i="7"/>
  <c r="M404" i="7"/>
  <c r="M398" i="7"/>
  <c r="M40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Cesar Martinez Anell</author>
  </authors>
  <commentList>
    <comment ref="D16" authorId="0" shapeId="0" xr:uid="{570350F0-61A4-45BF-819A-89ADD468B68A}">
      <text>
        <r>
          <rPr>
            <b/>
            <sz val="9"/>
            <color indexed="81"/>
            <rFont val="Tahoma"/>
            <family val="2"/>
          </rPr>
          <t xml:space="preserve">Los paquetes que tienen NETFLIX fueron agrupados por Telmex, de manera que bajo esta modalidad consideran alrededor de 9.9 millones de suscriptores vs los casi 12.2 millones que reportó con la indicación de cada paquete con Netflix. </t>
        </r>
      </text>
    </comment>
    <comment ref="D260" authorId="0" shapeId="0" xr:uid="{8A486983-8987-41A6-AD7A-316B33AEB6C6}">
      <text>
        <r>
          <rPr>
            <b/>
            <sz val="9"/>
            <color indexed="81"/>
            <rFont val="Tahoma"/>
            <family val="2"/>
          </rPr>
          <t xml:space="preserve">Los paquetes que tienen NETFLIX fueron agrupados por Telmex, de manera que bajo esta modalidad consideran alrededor de 9.9 millones de suscriptores vs los casi 12.2 millones que reportó con la indicación de cada paquete con Netflix.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Subdireccion de Modelos de Costos</author>
  </authors>
  <commentList>
    <comment ref="I36" authorId="0" shapeId="0" xr:uid="{BBC75881-557E-489B-BC40-05F9A2A244C6}">
      <text>
        <r>
          <rPr>
            <b/>
            <sz val="9"/>
            <color rgb="FF000000"/>
            <rFont val="Tahoma"/>
            <family val="2"/>
          </rPr>
          <t>Subdireccion de Modelos de Costos:</t>
        </r>
        <r>
          <rPr>
            <sz val="9"/>
            <color rgb="FF000000"/>
            <rFont val="Tahoma"/>
            <family val="2"/>
          </rPr>
          <t xml:space="preserve">
</t>
        </r>
        <r>
          <rPr>
            <sz val="9"/>
            <color rgb="FF000000"/>
            <rFont val="Tahoma"/>
            <family val="2"/>
          </rPr>
          <t xml:space="preserve">
</t>
        </r>
        <r>
          <rPr>
            <sz val="9"/>
            <color rgb="FF000000"/>
            <rFont val="Tahoma"/>
            <family val="2"/>
          </rPr>
          <t xml:space="preserve">Incluye 3 servicios digitales sin costo, por un periodo de 3 meses
</t>
        </r>
        <r>
          <rPr>
            <sz val="9"/>
            <color rgb="FF000000"/>
            <rFont val="Tahoma"/>
            <family val="2"/>
          </rPr>
          <t xml:space="preserve">
</t>
        </r>
        <r>
          <rPr>
            <sz val="9"/>
            <color rgb="FF000000"/>
            <rFont val="Tahoma"/>
            <family val="2"/>
          </rPr>
          <t>https://telmex.com/web/hogar/contratacion-telefonia</t>
        </r>
      </text>
    </comment>
    <comment ref="J38" authorId="0" shapeId="0" xr:uid="{4A7A7CFB-F52E-44A0-8AC6-D8646D6799C1}">
      <text>
        <r>
          <rPr>
            <b/>
            <sz val="9"/>
            <color rgb="FF000000"/>
            <rFont val="Tahoma"/>
            <family val="2"/>
          </rPr>
          <t>Subdireccion de Modelos de Costos:</t>
        </r>
        <r>
          <rPr>
            <sz val="9"/>
            <color rgb="FF000000"/>
            <rFont val="Tahoma"/>
            <family val="2"/>
          </rPr>
          <t xml:space="preserve">
</t>
        </r>
        <r>
          <rPr>
            <sz val="9"/>
            <color rgb="FF000000"/>
            <rFont val="Tahoma"/>
            <family val="2"/>
          </rPr>
          <t>No incluye servicios digitales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Cesar Martinez Anell</author>
  </authors>
  <commentList>
    <comment ref="J48" authorId="0" shapeId="0" xr:uid="{EBCA9F4F-68EB-485F-A7FD-FEA0CE161E02}">
      <text>
        <r>
          <rPr>
            <sz val="9"/>
            <color indexed="81"/>
            <rFont val="Tahoma"/>
            <family val="2"/>
          </rPr>
          <t>Separación contable, 2022. Instalación de línea o acometida.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Marco Angel Ortega Garcia</author>
  </authors>
  <commentList>
    <comment ref="E19" authorId="0" shapeId="0" xr:uid="{73298F94-F00C-4A98-8695-35C14F0E4B6D}">
      <text>
        <r>
          <rPr>
            <b/>
            <sz val="9"/>
            <color indexed="81"/>
            <rFont val="Tahoma"/>
            <family val="2"/>
          </rPr>
          <t>Marco Angel Ortega Garcia:</t>
        </r>
        <r>
          <rPr>
            <sz val="9"/>
            <color indexed="81"/>
            <rFont val="Tahoma"/>
            <family val="2"/>
          </rPr>
          <t xml:space="preserve">
En el Anexo aparece:
"Minuto de celular"</t>
        </r>
      </text>
    </comment>
    <comment ref="E74" authorId="0" shapeId="0" xr:uid="{F9D09A49-D5DB-4EE7-A0C5-5898422A9864}">
      <text>
        <r>
          <rPr>
            <b/>
            <sz val="9"/>
            <color indexed="81"/>
            <rFont val="Tahoma"/>
            <family val="2"/>
          </rPr>
          <t>Marco Angel Ortega Garcia:</t>
        </r>
        <r>
          <rPr>
            <sz val="9"/>
            <color indexed="81"/>
            <rFont val="Tahoma"/>
            <family val="2"/>
          </rPr>
          <t xml:space="preserve">
¿Se respeta el orden de la OREDA 2023 o el del archivo?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M7" authorId="0" shapeId="0" xr:uid="{A9D5C884-EECA-49C2-AF7C-4D6A1D163F92}">
      <text>
        <r>
          <rPr>
            <b/>
            <sz val="9"/>
            <color indexed="81"/>
            <rFont val="Tahoma"/>
            <family val="2"/>
          </rPr>
          <t>Se pueden insertar hasta 8 variantes de OTT</t>
        </r>
        <r>
          <rPr>
            <sz val="9"/>
            <color indexed="81"/>
            <rFont val="Tahoma"/>
            <family val="2"/>
          </rPr>
          <t xml:space="preserve">
</t>
        </r>
      </text>
    </comment>
    <comment ref="M96" authorId="0" shapeId="0" xr:uid="{F946462E-FA9F-49D3-BF74-81DE5BC994F4}">
      <text>
        <r>
          <rPr>
            <b/>
            <sz val="9"/>
            <color indexed="81"/>
            <rFont val="Tahoma"/>
            <family val="2"/>
          </rPr>
          <t>Se pueden insertar hasta 8 variantes de OTT</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Cesar Martinez Anell</author>
    <author>Marco Angel Ortega Garcia</author>
  </authors>
  <commentList>
    <comment ref="D312" authorId="0" shapeId="0" xr:uid="{3C09EE9D-EA57-4E8C-BC13-A5A66975387A}">
      <text>
        <r>
          <rPr>
            <sz val="9"/>
            <color indexed="81"/>
            <rFont val="Tahoma"/>
            <family val="2"/>
          </rPr>
          <t>Insertado manualmente con base en los Folios de Inscripción IFT: 721991 Y 826614.</t>
        </r>
      </text>
    </comment>
    <comment ref="D313" authorId="0" shapeId="0" xr:uid="{79B22753-B42C-4AD1-BCF3-991913A37ACA}">
      <text>
        <r>
          <rPr>
            <sz val="9"/>
            <color indexed="81"/>
            <rFont val="Tahoma"/>
            <family val="2"/>
          </rPr>
          <t>Insertado manualmente con base en el Folio de Inscripción IFT 535607</t>
        </r>
        <r>
          <rPr>
            <b/>
            <sz val="9"/>
            <color indexed="81"/>
            <rFont val="Tahoma"/>
            <family val="2"/>
          </rPr>
          <t>.</t>
        </r>
      </text>
    </comment>
    <comment ref="D314" authorId="1" shapeId="0" xr:uid="{3E952BD8-5737-4A71-9C1D-062C680E271E}">
      <text>
        <r>
          <rPr>
            <sz val="9"/>
            <color indexed="81"/>
            <rFont val="Tahoma"/>
            <family val="2"/>
          </rPr>
          <t>Insertado manualmente con base en los Folios de Inscripción IFT: 1027960 y 1027967</t>
        </r>
      </text>
    </comment>
    <comment ref="D315" authorId="0" shapeId="0" xr:uid="{724F0532-0839-4A1E-82AB-A06BCC65C621}">
      <text>
        <r>
          <rPr>
            <sz val="9"/>
            <color indexed="81"/>
            <rFont val="Tahoma"/>
            <family val="2"/>
          </rPr>
          <t>Insertado manualmente con base en el Folio de Inscripción IFT 529277</t>
        </r>
        <r>
          <rPr>
            <b/>
            <sz val="9"/>
            <color indexed="81"/>
            <rFont val="Tahoma"/>
            <family val="2"/>
          </rPr>
          <t>.</t>
        </r>
      </text>
    </comment>
    <comment ref="D316" authorId="1" shapeId="0" xr:uid="{D858EA94-ACE8-4A46-B4B5-B81BD5517864}">
      <text>
        <r>
          <rPr>
            <sz val="9"/>
            <color indexed="81"/>
            <rFont val="Tahoma"/>
            <family val="2"/>
          </rPr>
          <t>Insertado manualmente con base en los Folios de Inscripción IFT: 994732 y 994734</t>
        </r>
      </text>
    </comment>
    <comment ref="D317" authorId="0" shapeId="0" xr:uid="{F2CC5A13-C704-4756-841E-5491F0195412}">
      <text>
        <r>
          <rPr>
            <sz val="9"/>
            <color indexed="81"/>
            <rFont val="Tahoma"/>
            <family val="2"/>
          </rPr>
          <t>Insertado manualmente con base en el Folio de Inscripción IFT 826616</t>
        </r>
        <r>
          <rPr>
            <b/>
            <sz val="9"/>
            <color indexed="81"/>
            <rFont val="Tahoma"/>
            <family val="2"/>
          </rPr>
          <t>.</t>
        </r>
      </text>
    </comment>
    <comment ref="D318" authorId="0" shapeId="0" xr:uid="{6851B416-2902-4E7C-A8D0-1E1E0B45D33A}">
      <text>
        <r>
          <rPr>
            <sz val="9"/>
            <color indexed="81"/>
            <rFont val="Tahoma"/>
            <family val="2"/>
          </rPr>
          <t>Insertado manualmente con base en el Folio de Inscripción IFT 825443</t>
        </r>
        <r>
          <rPr>
            <b/>
            <sz val="9"/>
            <color indexed="81"/>
            <rFont val="Tahoma"/>
            <family val="2"/>
          </rPr>
          <t>.</t>
        </r>
      </text>
    </comment>
    <comment ref="D319" authorId="0" shapeId="0" xr:uid="{05774D8E-91EB-4CC2-852C-C16AA13C4E21}">
      <text>
        <r>
          <rPr>
            <sz val="9"/>
            <color indexed="81"/>
            <rFont val="Tahoma"/>
            <family val="2"/>
          </rPr>
          <t>Insertado manualmente con base en el Folio de Inscripción IFT 825449.</t>
        </r>
      </text>
    </comment>
  </commentList>
</comments>
</file>

<file path=xl/sharedStrings.xml><?xml version="1.0" encoding="utf-8"?>
<sst xmlns="http://schemas.openxmlformats.org/spreadsheetml/2006/main" count="7370" uniqueCount="1081">
  <si>
    <t>Contents</t>
  </si>
  <si>
    <t>Information</t>
  </si>
  <si>
    <t xml:space="preserve">Title </t>
  </si>
  <si>
    <t>Workbook Title</t>
  </si>
  <si>
    <t>Objective</t>
  </si>
  <si>
    <t>Workbook Objective</t>
  </si>
  <si>
    <t>Version</t>
  </si>
  <si>
    <t>Workbook Version</t>
  </si>
  <si>
    <t>Status</t>
  </si>
  <si>
    <t>Under construction</t>
  </si>
  <si>
    <t>Work in progress</t>
  </si>
  <si>
    <t>Ready for review</t>
  </si>
  <si>
    <t>Approved for release</t>
  </si>
  <si>
    <t>Author</t>
  </si>
  <si>
    <t>Workbook Author</t>
  </si>
  <si>
    <t>Email</t>
  </si>
  <si>
    <t>Workbook Author's Email Address</t>
  </si>
  <si>
    <t>Sheet</t>
  </si>
  <si>
    <t>Description</t>
  </si>
  <si>
    <t>Notes</t>
  </si>
  <si>
    <t>C</t>
  </si>
  <si>
    <t>This contents sheet</t>
  </si>
  <si>
    <t>V</t>
  </si>
  <si>
    <t>A history of the versions of this workbook</t>
  </si>
  <si>
    <t xml:space="preserve">S </t>
  </si>
  <si>
    <t>A guide to the styles used in this workbook</t>
  </si>
  <si>
    <t>Enter description of worksheet here</t>
  </si>
  <si>
    <t>Insert extra rows above here</t>
  </si>
  <si>
    <t>Version history</t>
  </si>
  <si>
    <t>History</t>
  </si>
  <si>
    <t>Date released</t>
  </si>
  <si>
    <t>Details</t>
  </si>
  <si>
    <t>Style guidelines</t>
  </si>
  <si>
    <t>NB Use Window Unfreeze Panes (on each worksheet) to have row 1 scroll with the rest of the worksheet</t>
  </si>
  <si>
    <r>
      <t xml:space="preserve">NB Consider using Insert &gt; Header &amp; Footer &gt; Sheet &gt; </t>
    </r>
    <r>
      <rPr>
        <u/>
        <sz val="8"/>
        <rFont val="Arial"/>
        <family val="2"/>
      </rPr>
      <t>R</t>
    </r>
    <r>
      <rPr>
        <sz val="8"/>
        <rFont val="Arial"/>
        <family val="2"/>
      </rPr>
      <t>ows to repeat at top: $1:$1 to include row 1 at the top of all printed pages</t>
    </r>
  </si>
  <si>
    <t>Input cell styles</t>
  </si>
  <si>
    <t>Use these styles to identify inputs to a model</t>
  </si>
  <si>
    <t>NB These styles change most aspects of a cell's formatting (all except Number and Alignment)</t>
  </si>
  <si>
    <t>Input Parameter</t>
  </si>
  <si>
    <t>unlocked</t>
  </si>
  <si>
    <t>An input to the model that it is expected the user will change (change at will)</t>
  </si>
  <si>
    <r>
      <t xml:space="preserve">Consider using </t>
    </r>
    <r>
      <rPr>
        <u/>
        <sz val="9"/>
        <rFont val="Arial"/>
        <family val="2"/>
      </rPr>
      <t>D</t>
    </r>
    <r>
      <rPr>
        <sz val="9"/>
        <rFont val="Arial"/>
        <family val="2"/>
      </rPr>
      <t xml:space="preserve">ata </t>
    </r>
    <r>
      <rPr>
        <sz val="9"/>
        <rFont val="Arial"/>
        <family val="2"/>
      </rPr>
      <t>V</t>
    </r>
    <r>
      <rPr>
        <sz val="9"/>
        <rFont val="Arial"/>
        <family val="2"/>
      </rPr>
      <t>a</t>
    </r>
    <r>
      <rPr>
        <u/>
        <sz val="9"/>
        <rFont val="Arial"/>
        <family val="2"/>
      </rPr>
      <t>l</t>
    </r>
    <r>
      <rPr>
        <sz val="9"/>
        <rFont val="Arial"/>
        <family val="2"/>
      </rPr>
      <t>idation to ensure that only acceptable values are entered</t>
    </r>
  </si>
  <si>
    <t>Minimum</t>
  </si>
  <si>
    <t>Maximum</t>
  </si>
  <si>
    <r>
      <t xml:space="preserve">If a parameter can take only one of a small number of values, consider using </t>
    </r>
    <r>
      <rPr>
        <u/>
        <sz val="9"/>
        <rFont val="Arial"/>
        <family val="2"/>
      </rPr>
      <t>D</t>
    </r>
    <r>
      <rPr>
        <sz val="9"/>
        <rFont val="Arial"/>
        <family val="2"/>
      </rPr>
      <t>ata Va</t>
    </r>
    <r>
      <rPr>
        <u/>
        <sz val="9"/>
        <rFont val="Arial"/>
        <family val="2"/>
      </rPr>
      <t>l</t>
    </r>
    <r>
      <rPr>
        <sz val="9"/>
        <rFont val="Arial"/>
        <family val="2"/>
      </rPr>
      <t xml:space="preserve">idation </t>
    </r>
    <r>
      <rPr>
        <u/>
        <sz val="9"/>
        <rFont val="Arial"/>
        <family val="2"/>
      </rPr>
      <t>A</t>
    </r>
    <r>
      <rPr>
        <sz val="9"/>
        <rFont val="Arial"/>
        <family val="2"/>
      </rPr>
      <t xml:space="preserve">llow </t>
    </r>
    <r>
      <rPr>
        <u/>
        <sz val="9"/>
        <rFont val="Arial"/>
        <family val="2"/>
      </rPr>
      <t>L</t>
    </r>
    <r>
      <rPr>
        <sz val="9"/>
        <rFont val="Arial"/>
        <family val="2"/>
      </rPr>
      <t xml:space="preserve">ist with </t>
    </r>
    <r>
      <rPr>
        <u/>
        <sz val="9"/>
        <rFont val="Arial"/>
        <family val="2"/>
      </rPr>
      <t>I</t>
    </r>
    <r>
      <rPr>
        <sz val="9"/>
        <rFont val="Arial"/>
        <family val="2"/>
      </rPr>
      <t>n-cell dropdown selected</t>
    </r>
  </si>
  <si>
    <t>Acceptable values</t>
  </si>
  <si>
    <t>Input Data</t>
  </si>
  <si>
    <t>A piece of real data (only change if you have better data)</t>
  </si>
  <si>
    <t>Input Estimate</t>
  </si>
  <si>
    <t>An estimate used in the absence of real data (only change if you have a better estimate, or real data )</t>
  </si>
  <si>
    <t>Input Calculation</t>
  </si>
  <si>
    <t>locked</t>
  </si>
  <si>
    <t>An input to the model that has been calculated from other inputs (e.g. interpolated input values)</t>
  </si>
  <si>
    <t>Input Link</t>
  </si>
  <si>
    <t>An input to this part of the model, which is linked to a source on this worksheet within this workbook</t>
  </si>
  <si>
    <t>Input Link (different Worksheet)</t>
  </si>
  <si>
    <t>An input to this part of the model, which is linked to a source on another worksheet within this workbook</t>
  </si>
  <si>
    <t>Input Link (different Workbook)</t>
  </si>
  <si>
    <t>An input to this part of the model, which is linked to a source on a worksheet in a different workbook</t>
  </si>
  <si>
    <t>Other cell styles</t>
  </si>
  <si>
    <t>Use these styles to identify the role of other cells in a model</t>
  </si>
  <si>
    <t>NB These styles change a variety of different aspects of a cell's formatting (as appropriate to the context)</t>
  </si>
  <si>
    <t>Calculation</t>
  </si>
  <si>
    <t>A calculation of the model</t>
  </si>
  <si>
    <t>Total</t>
  </si>
  <si>
    <t>A total (use if not part of a "Sub-total row" or a "Total row" in a table - see below)</t>
  </si>
  <si>
    <t>Checksum</t>
  </si>
  <si>
    <t>A side calculation intended solely to cross check a result (and which therefore should not be referenced anywhere else in the model)</t>
  </si>
  <si>
    <t>Consider using Conditional Formatting (on Home tab) to highlight unacceptable results of cross-check calculations (e.g. non-zero)</t>
  </si>
  <si>
    <t>Output</t>
  </si>
  <si>
    <t>A key result from this part of the model (in particular one that will be used elsewhere in the model)</t>
  </si>
  <si>
    <t>Name</t>
  </si>
  <si>
    <r>
      <t xml:space="preserve">An Excel Name applying to one or more adjacent cells – use Create from Selection (on Formulas tab) </t>
    </r>
    <r>
      <rPr>
        <sz val="9"/>
        <rFont val="Arial"/>
        <family val="2"/>
      </rPr>
      <t>to actually create the Excel Names</t>
    </r>
  </si>
  <si>
    <t>Note</t>
  </si>
  <si>
    <t>A note (NB smaller than standard font size)</t>
  </si>
  <si>
    <t>Highlight</t>
  </si>
  <si>
    <t>A cell that is special in some way</t>
  </si>
  <si>
    <t>Unhighlight</t>
  </si>
  <si>
    <t>And one that isn't anymore</t>
  </si>
  <si>
    <t>Number styles</t>
  </si>
  <si>
    <t>Use these styles to consistently format numbers (and dates)</t>
  </si>
  <si>
    <t>NB All number styles use the decimal symbol and digit grouping symbol (thousands separator) defined under Regional Options in Control Panel. So if you want to change them do it there, and not here in Excel !</t>
  </si>
  <si>
    <t>NB Most number styles leave space for a ')' to the right of the number, but only the Currency styles actually use '(…)' for negatives</t>
  </si>
  <si>
    <t>Number</t>
  </si>
  <si>
    <t>Number
(2dp)</t>
  </si>
  <si>
    <t>Percentage</t>
  </si>
  <si>
    <t>Percentage (2dp)</t>
  </si>
  <si>
    <t>Currency</t>
  </si>
  <si>
    <t>Currency
(2dp)</t>
  </si>
  <si>
    <t>Comma</t>
  </si>
  <si>
    <t>Percent</t>
  </si>
  <si>
    <t>Positive</t>
  </si>
  <si>
    <t>Negative</t>
  </si>
  <si>
    <t>Zero</t>
  </si>
  <si>
    <t>Text</t>
  </si>
  <si>
    <t>Currency
EUR</t>
  </si>
  <si>
    <t>Currency
EUR (2dp)</t>
  </si>
  <si>
    <t>Currency
Euro</t>
  </si>
  <si>
    <t>Currency
Euro (2dp)</t>
  </si>
  <si>
    <t>Currency
USD</t>
  </si>
  <si>
    <t>Currency
USD (2dp)</t>
  </si>
  <si>
    <t>Currency Dollar</t>
  </si>
  <si>
    <t>Currency Dollar (2dp)</t>
  </si>
  <si>
    <t>Currency
GBP</t>
  </si>
  <si>
    <t>Currency
GBP (2dp)</t>
  </si>
  <si>
    <t>Currency Pound</t>
  </si>
  <si>
    <t>Currency Pound (2dp)</t>
  </si>
  <si>
    <t>Date</t>
  </si>
  <si>
    <t>Date
(Month)</t>
  </si>
  <si>
    <t>Date
(Year)</t>
  </si>
  <si>
    <t>Heading styles</t>
  </si>
  <si>
    <t>Use these styles to format headings</t>
  </si>
  <si>
    <t>NB These styles change only the font used in a cell</t>
  </si>
  <si>
    <t>H0</t>
  </si>
  <si>
    <t>Sheet title</t>
  </si>
  <si>
    <t>Heading level 0</t>
  </si>
  <si>
    <t>H1</t>
  </si>
  <si>
    <t>Title</t>
  </si>
  <si>
    <t>Heading level 1</t>
  </si>
  <si>
    <t>H2</t>
  </si>
  <si>
    <t>Heading level 2</t>
  </si>
  <si>
    <t>H3</t>
  </si>
  <si>
    <t>Heading level 3</t>
  </si>
  <si>
    <t>H4</t>
  </si>
  <si>
    <t>Heading level 4</t>
  </si>
  <si>
    <t>Table styles</t>
  </si>
  <si>
    <t>Use these styles to consistently format tables</t>
  </si>
  <si>
    <t>NB These styles change a variety of different aspects of cell formatting (as appropriate to the context)</t>
  </si>
  <si>
    <t>A simple table</t>
  </si>
  <si>
    <t>Column label (left aligned)</t>
  </si>
  <si>
    <t>Column label</t>
  </si>
  <si>
    <t>Row label</t>
  </si>
  <si>
    <t>(Table finish row)</t>
  </si>
  <si>
    <t>A more complex table</t>
  </si>
  <si>
    <t>Column label (no wrap)</t>
  </si>
  <si>
    <t>Column label (not bold)</t>
  </si>
  <si>
    <t>(Table unshading)</t>
  </si>
  <si>
    <t>(Table shading)</t>
  </si>
  <si>
    <t>Row label (indent)</t>
  </si>
  <si>
    <t>Sub-total row</t>
  </si>
  <si>
    <t>Total row</t>
  </si>
  <si>
    <t>Examples of use</t>
  </si>
  <si>
    <t>NB To avoid having spurious names in this template the names shown below have not actually been created</t>
  </si>
  <si>
    <t>Number of subscribers (year end)</t>
  </si>
  <si>
    <t>Service</t>
  </si>
  <si>
    <t>Units</t>
  </si>
  <si>
    <t>Subscribers.Year End.By Service</t>
  </si>
  <si>
    <t>Dial-up</t>
  </si>
  <si>
    <t>Subscribers</t>
  </si>
  <si>
    <t>Linear interpolation</t>
  </si>
  <si>
    <t>ADSL</t>
  </si>
  <si>
    <t>Cable Modem</t>
  </si>
  <si>
    <t>From above</t>
  </si>
  <si>
    <t>From Cable_modem.xls</t>
  </si>
  <si>
    <t>Number of subscribers (simple year average)</t>
  </si>
  <si>
    <t>Subscribers.Year Average.Total</t>
  </si>
  <si>
    <t>Listas</t>
  </si>
  <si>
    <t>Años</t>
  </si>
  <si>
    <t>#</t>
  </si>
  <si>
    <t>Nombres de planes y paquetes principales</t>
  </si>
  <si>
    <t>Nombres de planes y paquetes que ofrecen banda ancha</t>
  </si>
  <si>
    <t>Nombres de planes y paquetes que ofrecen telefonía fija</t>
  </si>
  <si>
    <t>Nombres de planes y paquetes que ofrecen banda ancha single play</t>
  </si>
  <si>
    <t>Nombres de planes y paquetes que ofrecen telefonía fija single play</t>
  </si>
  <si>
    <t>Factor conversion (1 Mbps a Kbps)</t>
  </si>
  <si>
    <t>Renta Mensual de la Línea Residencial</t>
  </si>
  <si>
    <t>Paquete 249</t>
  </si>
  <si>
    <t>Infinitum 279</t>
  </si>
  <si>
    <t>Renta Mensual de la Línea Comercial</t>
  </si>
  <si>
    <t>Paquete 289</t>
  </si>
  <si>
    <t>Infinitum 299 R</t>
  </si>
  <si>
    <t>factor.Mbps.to.Kbps</t>
  </si>
  <si>
    <t>Listado banda ancha</t>
  </si>
  <si>
    <t>Paquete 333</t>
  </si>
  <si>
    <t>Infinitum 349</t>
  </si>
  <si>
    <t>vector.telephony.plans.singleplay.names</t>
  </si>
  <si>
    <t>Banda ancha</t>
  </si>
  <si>
    <t>Paquete 389</t>
  </si>
  <si>
    <t>Infinitum 399</t>
  </si>
  <si>
    <t>Banda ancha menor</t>
  </si>
  <si>
    <t>Paquete 435</t>
  </si>
  <si>
    <t>Infinitum 449</t>
  </si>
  <si>
    <t>Paquete 499</t>
  </si>
  <si>
    <t>Infinitum 549</t>
  </si>
  <si>
    <t>Paquete 599</t>
  </si>
  <si>
    <t>Infinitum 899</t>
  </si>
  <si>
    <t>Years</t>
  </si>
  <si>
    <t>Paquete 649</t>
  </si>
  <si>
    <t>Infinitum 299 N</t>
  </si>
  <si>
    <t>Paquete Infinitum 999</t>
  </si>
  <si>
    <t>Infinitum Negocio 349</t>
  </si>
  <si>
    <t>Paquete 1399</t>
  </si>
  <si>
    <t>Infinitum Negocio 399</t>
  </si>
  <si>
    <t>Infinitum Negocio 449</t>
  </si>
  <si>
    <t>Infinitum Negocio 549</t>
  </si>
  <si>
    <t>Paquete Conectes Negocio</t>
  </si>
  <si>
    <t>Infinitum Negocio 899</t>
  </si>
  <si>
    <t>Paquete Mi Negocio</t>
  </si>
  <si>
    <t>Infinitum Negocio</t>
  </si>
  <si>
    <t>Paquete Negocio 649</t>
  </si>
  <si>
    <t>Infinitum Negocio Red</t>
  </si>
  <si>
    <t>Paquete Supernegocio</t>
  </si>
  <si>
    <t>Infinitum Negocio Premium</t>
  </si>
  <si>
    <t>Paquete Negocio 999</t>
  </si>
  <si>
    <t>vector.broadband.plans.singleplay.names</t>
  </si>
  <si>
    <t>Paquete Telmex Negocio Ilimitado 1</t>
  </si>
  <si>
    <t>Paquete Telmex Negocio Ilimitado 2</t>
  </si>
  <si>
    <t>Paquete Telmex Negocio Ilimitado 3</t>
  </si>
  <si>
    <t>vector.telephony.plans.names</t>
  </si>
  <si>
    <t>vector.broadband.plans.names</t>
  </si>
  <si>
    <t>vector.plans.names</t>
  </si>
  <si>
    <t>Control</t>
  </si>
  <si>
    <t>Concepto</t>
  </si>
  <si>
    <t>Unidad</t>
  </si>
  <si>
    <t>Nombre</t>
  </si>
  <si>
    <t>Notas</t>
  </si>
  <si>
    <t>Año de referencia</t>
  </si>
  <si>
    <t>Año de referencia para el que se realizan las estimaciones</t>
  </si>
  <si>
    <t>año</t>
  </si>
  <si>
    <t>Year.selected</t>
  </si>
  <si>
    <t>Parámetros asociados a costos de los servicios</t>
  </si>
  <si>
    <t>Relacionados a la captación de usuarios</t>
  </si>
  <si>
    <t>Índice de rotación (Churn)</t>
  </si>
  <si>
    <t>%</t>
  </si>
  <si>
    <t>Line.rental.churn</t>
  </si>
  <si>
    <r>
      <t>Fuente:</t>
    </r>
    <r>
      <rPr>
        <sz val="9"/>
        <rFont val="Arial"/>
        <family val="2"/>
      </rPr>
      <t xml:space="preserve"> Promedio 2019-2023, a partir del requerimiento de información Telmex /Telnor</t>
    </r>
  </si>
  <si>
    <t>Costos de facturación (incluyendo el sistema de facturación a clientes minoristas)</t>
  </si>
  <si>
    <t>Costos de facturación (incluyendo el sistema de facturación a clientes minoristas) sobre el total de ingresos</t>
  </si>
  <si>
    <t>Billing.cost</t>
  </si>
  <si>
    <r>
      <t>Fuente:</t>
    </r>
    <r>
      <rPr>
        <sz val="9"/>
        <rFont val="Arial"/>
        <family val="2"/>
      </rPr>
      <t xml:space="preserve"> Promedio 2019-2022, a partir del monto calculado entre los de los costos de facturación reportados por Telmex y Telnory los ingresos por facturación de los servicios.</t>
    </r>
  </si>
  <si>
    <t>Asociados a deuda incobrable</t>
  </si>
  <si>
    <t>Deuda incobrable sobre el total de ingresos</t>
  </si>
  <si>
    <t>Bad.debt.cost</t>
  </si>
  <si>
    <r>
      <rPr>
        <b/>
        <sz val="9"/>
        <rFont val="Arial"/>
        <family val="2"/>
      </rPr>
      <t>Fuente:</t>
    </r>
    <r>
      <rPr>
        <sz val="9"/>
        <rFont val="Arial"/>
        <family val="2"/>
      </rPr>
      <t xml:space="preserve">  El valor estimado fue calculado a partir de la revisión de la Separación Contable para 2019 a 2022. Por lo cual se sumaron las cuentas de incobrabilidad respecto a sus ingresos operativos en cada ejercicio.</t>
    </r>
  </si>
  <si>
    <t>Marketing y publicidad</t>
  </si>
  <si>
    <t>Costos de ventas y marketing por suscriptor bruto adicional</t>
  </si>
  <si>
    <t>para servicios de voz</t>
  </si>
  <si>
    <t>MXN / Suscriptor bruto adicional</t>
  </si>
  <si>
    <t>Marketing.and.sales.per.gross.add.line.rental</t>
  </si>
  <si>
    <t>Se asume cero, bajo la premisa de los operadores se publicitan para captar suscriptores de banda ancha, no suscriptores sólo de voz fija</t>
  </si>
  <si>
    <t xml:space="preserve">para servicios de banda ancha </t>
  </si>
  <si>
    <t>Marketing.and.sales.per.gross.add.broadband</t>
  </si>
  <si>
    <t xml:space="preserve">Gasto mínimo en marketing en ventas sobre el total de ingresos </t>
  </si>
  <si>
    <t>Marketing.and.sales.minimum.proportion.line.rental</t>
  </si>
  <si>
    <t>Marketing.and.sales.minimum.proportion.broadband</t>
  </si>
  <si>
    <r>
      <rPr>
        <b/>
        <sz val="9"/>
        <rFont val="Arial"/>
        <family val="2"/>
      </rPr>
      <t xml:space="preserve">Fuente: </t>
    </r>
    <r>
      <rPr>
        <sz val="9"/>
        <rFont val="Arial"/>
        <family val="2"/>
      </rPr>
      <t>El valor se actualizó con el porcentaje de las cuentas de publicidad respecto a los ingresos de banda ancha de separación contable 2019-2022.</t>
    </r>
  </si>
  <si>
    <t>Atención al cliente minorista (incluyendo asistencia técnica de primera línea)</t>
  </si>
  <si>
    <t>Número promedio de suscriptores atendidos por empleado:</t>
  </si>
  <si>
    <t># Suscriptor / empleado</t>
  </si>
  <si>
    <t>Customer.care.broadbandsubscriber.per.staff</t>
  </si>
  <si>
    <t>El índice menor de fallas por línea sólo de voz que para líneas de banda ancha (hay menos equipos que pueden fallar) y es menos probable que las fallas sean percibidas por los usuarios (la duración diaria de uso de una línea para llamadas de voz es mucho menor que para banda ancha)</t>
  </si>
  <si>
    <t>Customer.care.line.rental.per.staff</t>
  </si>
  <si>
    <t>Incrementos de revisiones salariales Sindicato de Telefonistas de la República Mexicana</t>
  </si>
  <si>
    <t>Costo mensual por empleado dedicado a la atención del cliente minorista</t>
  </si>
  <si>
    <t>MXN / empleado</t>
  </si>
  <si>
    <t>Monthly.cost.per.staff</t>
  </si>
  <si>
    <r>
      <rPr>
        <b/>
        <sz val="9"/>
        <rFont val="Arial"/>
        <family val="2"/>
      </rPr>
      <t>Fuente:</t>
    </r>
    <r>
      <rPr>
        <sz val="9"/>
        <rFont val="Arial"/>
        <family val="2"/>
      </rPr>
      <t xml:space="preserve"> Telmex</t>
    </r>
  </si>
  <si>
    <r>
      <rPr>
        <b/>
        <sz val="9"/>
        <rFont val="Arial"/>
        <family val="2"/>
      </rPr>
      <t xml:space="preserve">Fuente: </t>
    </r>
    <r>
      <rPr>
        <sz val="9"/>
        <rFont val="Arial"/>
        <family val="2"/>
      </rPr>
      <t>Telmex: 4.5% incremento salarial y 1.5% prestaciones</t>
    </r>
  </si>
  <si>
    <r>
      <rPr>
        <b/>
        <sz val="9"/>
        <rFont val="Arial"/>
        <family val="2"/>
      </rPr>
      <t xml:space="preserve">Fuente: </t>
    </r>
    <r>
      <rPr>
        <sz val="9"/>
        <rFont val="Arial"/>
        <family val="2"/>
      </rPr>
      <t>Telmex 4% incremento salarial y 1.12% prestaciones</t>
    </r>
  </si>
  <si>
    <r>
      <rPr>
        <b/>
        <sz val="9"/>
        <rFont val="Arial"/>
        <family val="2"/>
      </rPr>
      <t xml:space="preserve">Fuente: </t>
    </r>
    <r>
      <rPr>
        <sz val="9"/>
        <rFont val="Arial"/>
        <family val="2"/>
      </rPr>
      <t>Telmex incremento salarial de 3.5% y 1% prestaciones</t>
    </r>
  </si>
  <si>
    <r>
      <rPr>
        <b/>
        <sz val="9"/>
        <rFont val="Arial"/>
        <family val="2"/>
      </rPr>
      <t>Fuente:</t>
    </r>
    <r>
      <rPr>
        <sz val="9"/>
        <rFont val="Arial"/>
        <family val="2"/>
      </rPr>
      <t xml:space="preserve"> Telmex incremento salarial de 3.4% y 0.8% prestaciones</t>
    </r>
  </si>
  <si>
    <r>
      <rPr>
        <b/>
        <sz val="9"/>
        <rFont val="Arial"/>
        <family val="2"/>
      </rPr>
      <t>Fuente:</t>
    </r>
    <r>
      <rPr>
        <sz val="9"/>
        <rFont val="Arial"/>
        <family val="2"/>
      </rPr>
      <t xml:space="preserve"> Telmex incremento salarial https://www.gob.mx/stps/prensa/con-el-dialogo-impulsado-por-la-stps-sindicato-de-telefonistas-y-telmex-logran-acuerdo?idiom=es#:%7E:text=Las%20partes%20acordaron%20la%20revisi%C3%B3n,50.50%20pesos%20diarios%2C%20m%C3%A1s%201.1026%25</t>
    </r>
  </si>
  <si>
    <r>
      <rPr>
        <b/>
        <sz val="9"/>
        <rFont val="Arial"/>
        <family val="2"/>
      </rPr>
      <t xml:space="preserve">Fuente: </t>
    </r>
    <r>
      <rPr>
        <sz val="9"/>
        <rFont val="Arial"/>
        <family val="2"/>
      </rPr>
      <t>Telmex ncremento salarial https://www.gob.mx/stps/prensa/con-la-mediacion-de-la-stps-y-el-cfcrl-telmex-y-el-sindicato-de-telefonistas-alcanzan-acuerdo?idiom=es</t>
    </r>
  </si>
  <si>
    <r>
      <rPr>
        <b/>
        <sz val="9"/>
        <rFont val="Arial"/>
        <family val="2"/>
      </rPr>
      <t xml:space="preserve">Fuente: </t>
    </r>
    <r>
      <rPr>
        <sz val="9"/>
        <rFont val="Arial"/>
        <family val="2"/>
      </rPr>
      <t>Telmex incremento salarial. https://portal.strm.cloud/documentos/CircularUltimaPropuestaRevision2024.pdf</t>
    </r>
  </si>
  <si>
    <t>Costos generales y administrativos</t>
  </si>
  <si>
    <t>Superficie de suelo usada por empleado</t>
  </si>
  <si>
    <r>
      <t>m</t>
    </r>
    <r>
      <rPr>
        <vertAlign val="superscript"/>
        <sz val="9"/>
        <rFont val="Arial"/>
        <family val="2"/>
      </rPr>
      <t>2</t>
    </r>
    <r>
      <rPr>
        <sz val="9"/>
        <rFont val="Arial"/>
        <family val="2"/>
      </rPr>
      <t xml:space="preserve"> / empleado</t>
    </r>
  </si>
  <si>
    <t>Floorspace.per.staff</t>
  </si>
  <si>
    <r>
      <rPr>
        <b/>
        <sz val="9"/>
        <rFont val="Arial"/>
        <family val="2"/>
      </rPr>
      <t>Fuente:</t>
    </r>
    <r>
      <rPr>
        <sz val="9"/>
        <rFont val="Arial"/>
        <family val="2"/>
      </rPr>
      <t xml:space="preserve"> AEP. Datos promedio de 2019-2023.</t>
    </r>
  </si>
  <si>
    <t>Costos de alquiler de oficinas (por metro cuadrado al mes)</t>
  </si>
  <si>
    <r>
      <t>MXN / Mes / m</t>
    </r>
    <r>
      <rPr>
        <vertAlign val="superscript"/>
        <sz val="9"/>
        <rFont val="Arial"/>
        <family val="2"/>
      </rPr>
      <t>2</t>
    </r>
  </si>
  <si>
    <t>Rent.per.sqm</t>
  </si>
  <si>
    <t xml:space="preserve">Personal administrativo (incluyendo personal de marketing y ventas) por empleado de atención al cliente </t>
  </si>
  <si>
    <t>Admin.staff.per.customer.care.staff</t>
  </si>
  <si>
    <t>Costos administrativos sobre el total de ingresos (incluye personal de soporte IT, recursos humanos, estrategia, finanzas, etc.)</t>
  </si>
  <si>
    <t>Admin.costs</t>
  </si>
  <si>
    <r>
      <rPr>
        <b/>
        <sz val="9"/>
        <rFont val="Arial"/>
        <family val="2"/>
      </rPr>
      <t>Fuente:</t>
    </r>
    <r>
      <rPr>
        <sz val="9"/>
        <rFont val="Arial"/>
        <family val="2"/>
      </rPr>
      <t xml:space="preserve"> AEP. Datos promedio considerados en la separación contable de 2019-2022.</t>
    </r>
  </si>
  <si>
    <t xml:space="preserve">Margen de beneficios sobre costos evitados
</t>
  </si>
  <si>
    <t>Retail.profit</t>
  </si>
  <si>
    <r>
      <rPr>
        <b/>
        <sz val="9"/>
        <rFont val="Arial"/>
        <family val="2"/>
      </rPr>
      <t>Fuente:</t>
    </r>
    <r>
      <rPr>
        <sz val="9"/>
        <rFont val="Arial"/>
        <family val="2"/>
      </rPr>
      <t xml:space="preserve"> CCPP. Condiciones técnicas mínimas de interconexión 2025.</t>
    </r>
  </si>
  <si>
    <t>Otros parámetros relevantes</t>
  </si>
  <si>
    <t>Periodo de retención de cliente</t>
  </si>
  <si>
    <t>años</t>
  </si>
  <si>
    <t>years.client.retention</t>
  </si>
  <si>
    <r>
      <rPr>
        <b/>
        <sz val="9"/>
        <rFont val="Arial"/>
        <family val="2"/>
      </rPr>
      <t>Fuente:</t>
    </r>
    <r>
      <rPr>
        <sz val="9"/>
        <rFont val="Arial"/>
        <family val="2"/>
      </rPr>
      <t xml:space="preserve"> Telmex/Telnor</t>
    </r>
  </si>
  <si>
    <t>Representación del valor promedio del medio de transmisión en el componente de voz sobre cobre y en fibra óptica</t>
  </si>
  <si>
    <t>Bucle local de cobre</t>
  </si>
  <si>
    <t>MXN / Mes</t>
  </si>
  <si>
    <t>local.loop.cooper</t>
  </si>
  <si>
    <r>
      <rPr>
        <b/>
        <sz val="9"/>
        <rFont val="Arial"/>
        <family val="2"/>
      </rPr>
      <t>Fuente:</t>
    </r>
    <r>
      <rPr>
        <sz val="9"/>
        <rFont val="Arial"/>
        <family val="2"/>
      </rPr>
      <t xml:space="preserve"> Estimaciones a partir de Modelo Integral de Red de Acceso Fijo (LLU Full sin costos de caseta y alojamiento</t>
    </r>
  </si>
  <si>
    <t>Bucle local de fibra óptica</t>
  </si>
  <si>
    <t>local.loop.optical.fiber</t>
  </si>
  <si>
    <r>
      <rPr>
        <b/>
        <sz val="9"/>
        <rFont val="Arial"/>
        <family val="2"/>
      </rPr>
      <t>Fuente:</t>
    </r>
    <r>
      <rPr>
        <sz val="9"/>
        <rFont val="Arial"/>
        <family val="2"/>
      </rPr>
      <t xml:space="preserve"> Estimaciones a partir de Modelo Integral de Red de Acceso Fijo</t>
    </r>
  </si>
  <si>
    <t>Claro video</t>
  </si>
  <si>
    <t>Renta mensual, sin impuestos</t>
  </si>
  <si>
    <t>clarovideo.rental.without.taxes</t>
  </si>
  <si>
    <r>
      <rPr>
        <b/>
        <sz val="9"/>
        <rFont val="Arial"/>
        <family val="2"/>
      </rPr>
      <t xml:space="preserve">Fuente: </t>
    </r>
    <r>
      <rPr>
        <sz val="9"/>
        <rFont val="Arial"/>
        <family val="2"/>
      </rPr>
      <t>Estimación IFT, a partir de precios en página de Claro video</t>
    </r>
  </si>
  <si>
    <t>https://www.clarovideo.com/fe/sitesplus/sk_telmex/html/esp/faqs.html</t>
  </si>
  <si>
    <t>Parámetro de reposición de equipos terminales</t>
  </si>
  <si>
    <t>equipo.terminal.parameter</t>
  </si>
  <si>
    <t>Fin</t>
  </si>
  <si>
    <t>Mercado</t>
  </si>
  <si>
    <t>Banda ancha fija</t>
  </si>
  <si>
    <t>Datos de mercado de banda ancha fija</t>
  </si>
  <si>
    <t>Suscripciones de banda ancha fija</t>
  </si>
  <si>
    <t>Suscripciones de banda ancha fija, residenciales y no residenciales del mercado</t>
  </si>
  <si>
    <t># suscripciones</t>
  </si>
  <si>
    <t>Broadbad.suscriptions.market</t>
  </si>
  <si>
    <r>
      <rPr>
        <b/>
        <sz val="9"/>
        <rFont val="Arial"/>
        <family val="2"/>
      </rPr>
      <t xml:space="preserve">Fuente: </t>
    </r>
    <r>
      <rPr>
        <sz val="9"/>
        <rFont val="Arial"/>
        <family val="2"/>
      </rPr>
      <t>Banco de Información de Telecomunicaciones, IFT (https://bit.ift.org.mx/BitWebApp/)</t>
    </r>
  </si>
  <si>
    <t>Suscripciones de banda ancha fija, residenciales y no residenciales del AEP</t>
  </si>
  <si>
    <t>Broadbad.suscriptions.AEP</t>
  </si>
  <si>
    <t>Cuota de Mercado del AEP</t>
  </si>
  <si>
    <t>% de suscripciones residenciales y no residenciales del AEP</t>
  </si>
  <si>
    <t>% respecto a total de suscripciones del mercado</t>
  </si>
  <si>
    <t>Broadbad.suscriptions.market.share.AEP</t>
  </si>
  <si>
    <t>Distribución de suscriptores del AEP</t>
  </si>
  <si>
    <t>Distribución porcentual de suscriptores del AEP por plan/paquete a través se ofrecen servicios de banda ancha fija</t>
  </si>
  <si>
    <t>Nombre de plan/paquete</t>
  </si>
  <si>
    <t>Modalidad</t>
  </si>
  <si>
    <t>Tipo de Servicio</t>
  </si>
  <si>
    <r>
      <t xml:space="preserve">Fuente: </t>
    </r>
    <r>
      <rPr>
        <sz val="9"/>
        <rFont val="Arial"/>
        <family val="2"/>
      </rPr>
      <t>Estimaciones IFT, a partir de datos AEP</t>
    </r>
  </si>
  <si>
    <t>AEP.broadband.distribution.by.plan</t>
  </si>
  <si>
    <t>Distribución suscriptores del AEP por plan/paquete a través se ofrecen servicios de banda ancha fija</t>
  </si>
  <si>
    <t>AEP.broadband.subs.by.plan</t>
  </si>
  <si>
    <t>Resumen de suscripciones de banda ancha fija del AEP</t>
  </si>
  <si>
    <t>Suscripciones de banda ancha fija del AEP</t>
  </si>
  <si>
    <t>Residenciales</t>
  </si>
  <si>
    <t>AEP.broadband.subs.residential</t>
  </si>
  <si>
    <t>Residenciales en modalidad, que se proveen con servicios de voz (i.e. excluyendo banda ancha en modalidad single play)</t>
  </si>
  <si>
    <t>AEP.broadband.subs.residential.with.line.rental</t>
  </si>
  <si>
    <t>Residenciales y no residenciales en modalidad single play (i.e. sin servicios de voz)</t>
  </si>
  <si>
    <t>AEP.broadband.subs.residential.without.line.rental</t>
  </si>
  <si>
    <t xml:space="preserve">No residenciales </t>
  </si>
  <si>
    <t>AEP.broadband.subs.non.residential</t>
  </si>
  <si>
    <t>Telefonía fija</t>
  </si>
  <si>
    <t>Datos de mercado de telefonía fija</t>
  </si>
  <si>
    <t>Líneas de telefonía fija</t>
  </si>
  <si>
    <t>Líneas de telefonía fija, residenciales y no residenciales del mercado</t>
  </si>
  <si>
    <t># líneas</t>
  </si>
  <si>
    <r>
      <rPr>
        <b/>
        <sz val="9"/>
        <rFont val="Arial"/>
        <family val="2"/>
      </rPr>
      <t xml:space="preserve">Fuente: </t>
    </r>
    <r>
      <rPr>
        <sz val="9"/>
        <rFont val="Arial"/>
        <family val="2"/>
      </rPr>
      <t>Banco de Información de Telecomunicaciones, IFT</t>
    </r>
  </si>
  <si>
    <t>Datos del AEP</t>
  </si>
  <si>
    <t>Líneas residenciales y no residenciales del AEP</t>
  </si>
  <si>
    <t>AEP.telephone.lines</t>
  </si>
  <si>
    <t>% de Líneas residenciales y no residenciales del AEP</t>
  </si>
  <si>
    <t>% respecto a total de líneas del mercado</t>
  </si>
  <si>
    <t>Estimación de líneas del AEP en la cuales se brindan servicios de telefonía fija en modalidad single play</t>
  </si>
  <si>
    <t>Otros datos de mercado de telefonía fija y banda ancha</t>
  </si>
  <si>
    <t>Suscripciones de banda ancha (residenciales y no residenciales) en modalidad single play (i.e. sin servicios de voz)</t>
  </si>
  <si>
    <t>Proporción de suscripciones de banda ancha del AEP en modalidad single play (i.e. sin servicios de voz), respecto al total</t>
  </si>
  <si>
    <t>Estimación líneas del AEP en la cuales se brindan servicios de telefonía fija en modalidad single play</t>
  </si>
  <si>
    <t>Líneas del AEP en la cuales se brindan servicios de telefonía fija en modalidad single play</t>
  </si>
  <si>
    <t>AEP.telephone.lines.voice.only</t>
  </si>
  <si>
    <t>Líneas residenciales del AEP en la cuales se brindan servicios de telefonía fija en modalidad single play</t>
  </si>
  <si>
    <t>AEP.telephone.lines.voice.only.residential</t>
  </si>
  <si>
    <t>Líneas no residenciales del AEP en la cuales se brindan servicios de telefonía fija en modalidad single play</t>
  </si>
  <si>
    <t>AEP.telephone.lines.voice.only.noresidential</t>
  </si>
  <si>
    <t>Distribución de líneas del AEP</t>
  </si>
  <si>
    <t>Distribución porcentual de líneas del AEP por plan/paquete a través se ofrecen servicios de telefonía fija en modalidad single play</t>
  </si>
  <si>
    <t>Residencial</t>
  </si>
  <si>
    <t>No Residencial</t>
  </si>
  <si>
    <t>Distribución de líneas del AEP por plan/paquete a través se ofrecen servicios de telefonía fija en modalidad single play</t>
  </si>
  <si>
    <r>
      <t xml:space="preserve">Fuente: </t>
    </r>
    <r>
      <rPr>
        <sz val="9"/>
        <rFont val="Arial"/>
        <family val="2"/>
      </rPr>
      <t>Estimaciones IFT.</t>
    </r>
  </si>
  <si>
    <t>Distribución porcentual de líneas del AEP por plan/paquete a través se ofrecen servicios de telefonía fija</t>
  </si>
  <si>
    <t>AEP.telephony.distribution.by.plan</t>
  </si>
  <si>
    <t>Distribución de líneas del AEP por plan/paquete a través se ofrecen servicios de telefonía fija</t>
  </si>
  <si>
    <t>AEP.telephony.subs.by.plan</t>
  </si>
  <si>
    <t>*</t>
  </si>
  <si>
    <t>Cálculos auxiliares</t>
  </si>
  <si>
    <t>Información asociada a servicios digitales</t>
  </si>
  <si>
    <t>Valor</t>
  </si>
  <si>
    <t># Servicios digitales</t>
  </si>
  <si>
    <t>Estimación 
MXN / Mes / Servicio digital</t>
  </si>
  <si>
    <t>Fuente</t>
  </si>
  <si>
    <t>Tarifa por Activación por SD o en Paquete</t>
  </si>
  <si>
    <t>MXN / Servicio</t>
  </si>
  <si>
    <t>https://downloads.telmex.com/pdf/ServiciosMercadoMasivo.pdf</t>
  </si>
  <si>
    <t>En la contratación adicional de un SD o Paquete, ya no aplica este cargo.</t>
  </si>
  <si>
    <t>Renta Mensual por Servicio Digital</t>
  </si>
  <si>
    <t>MXN / Mes / Servicio</t>
  </si>
  <si>
    <t>unit.cost.digital.service.1</t>
  </si>
  <si>
    <r>
      <t xml:space="preserve">• Paquete de SD incluyen como base: Identificador de llamadas + los otros SD, según paquete contratado.
• *Por promoción 3 meses de renta gratis, al momento de contratar una línea nueva. El 4º mes, inicia el cobro de esta.
</t>
    </r>
    <r>
      <rPr>
        <sz val="9"/>
        <rFont val="Calibri"/>
        <family val="2"/>
      </rPr>
      <t>•</t>
    </r>
    <r>
      <rPr>
        <sz val="7.65"/>
        <rFont val="Arial"/>
        <family val="2"/>
      </rPr>
      <t xml:space="preserve"> Identificador de llamadas requiere aparato telefónico c/Caller ID.</t>
    </r>
    <r>
      <rPr>
        <sz val="9"/>
        <rFont val="Arial"/>
        <family val="2"/>
      </rPr>
      <t xml:space="preserve">
3) Identificador de llamadas requiere aparato. telefónico c/ Caller ID.</t>
    </r>
  </si>
  <si>
    <t>Renta Mensual por 3 Servicios Digitales</t>
  </si>
  <si>
    <t>unit.cost.digital.service.3</t>
  </si>
  <si>
    <t>Renta Mensual por 4 Servicios Digitales</t>
  </si>
  <si>
    <t>unit.cost.digital.service.4</t>
  </si>
  <si>
    <t>Renta Mensual por 5 Servicios Digitales</t>
  </si>
  <si>
    <t>unit.cost.digital.service.5</t>
  </si>
  <si>
    <t>Representación del costo mensual promedio ponderado del bucle, por plan/paquete con banda ancha fija y por perfil de velocidad</t>
  </si>
  <si>
    <t>Distriibución porcentual de los suscriptores por medio de transmissión</t>
  </si>
  <si>
    <t>Nombre de plan o paquete</t>
  </si>
  <si>
    <t>Velocidad de bajada ofertada (Mbps)</t>
  </si>
  <si>
    <t>Cobre</t>
  </si>
  <si>
    <t>Fibra óptica</t>
  </si>
  <si>
    <t>weighted.average.local.loop.by.plan</t>
  </si>
  <si>
    <t>Distriibución de los suscriptores por medio de transmissión</t>
  </si>
  <si>
    <t>h</t>
  </si>
  <si>
    <t>Velocidad de subida ofertada (Mbps)</t>
  </si>
  <si>
    <t xml:space="preserve">Cobre + FTTC. Fibra hasta un punto intermedio entre el edificio del AEP y el usuario y despues cobre hasta el usuario. </t>
  </si>
  <si>
    <t>Estimación de la distribución del precio promedio ponderado del bucle por perfil, de acuerdo al medio de transmisión por el que se proveen servicios</t>
  </si>
  <si>
    <t>Valor promedio ponderado del bucle local</t>
  </si>
  <si>
    <t>Mbps</t>
  </si>
  <si>
    <t>Velocidad de bajada ofertada</t>
  </si>
  <si>
    <t>weighted.average.local.loop.by.plan.by.tx.media</t>
  </si>
  <si>
    <t>Representación del precio implícito por perfil del Mbps</t>
  </si>
  <si>
    <t>Matriz función indicadora de si el plan/paquete cuenta con determinado perfil en Mbps</t>
  </si>
  <si>
    <t>Precio implícito estimado para perfil de Mbps incluidos en renta mensual</t>
  </si>
  <si>
    <t>Precio implícito estimado ajustado para perfil de Mbps incluidos en renta mensual</t>
  </si>
  <si>
    <t>1=Si, 0=No</t>
  </si>
  <si>
    <t>Estimación del precio promedio por Mbps por perfil</t>
  </si>
  <si>
    <t>Modelo anterior 2019</t>
  </si>
  <si>
    <t>Modelo 2020</t>
  </si>
  <si>
    <t>Modelo 2021</t>
  </si>
  <si>
    <t>Modelo 2022</t>
  </si>
  <si>
    <t>Modelo 2023</t>
  </si>
  <si>
    <t>Perfil de velocidad de bajada (Mbps)</t>
  </si>
  <si>
    <t>Precio implícito promedio (simple)</t>
  </si>
  <si>
    <t>Precio implícito promedio ponderado</t>
  </si>
  <si>
    <t>A partir de promedio simple</t>
  </si>
  <si>
    <t>A partir de promedio ponderado</t>
  </si>
  <si>
    <t xml:space="preserve">Datos para la estimación* </t>
  </si>
  <si>
    <t>Estimado</t>
  </si>
  <si>
    <t>Interpolación del precio por Mbps para estimar el precio por perfil</t>
  </si>
  <si>
    <t>Interpolado con función potencial</t>
  </si>
  <si>
    <t>Estimación IFT</t>
  </si>
  <si>
    <t xml:space="preserve">Precio de la banda ancha por perfil </t>
  </si>
  <si>
    <t>MXN/ Mbps</t>
  </si>
  <si>
    <t>Extrapolación de precio implícito por perfil</t>
  </si>
  <si>
    <t>Precio implícito por perfil promedio ponderado</t>
  </si>
  <si>
    <t>Modelo anterior 2017</t>
  </si>
  <si>
    <t>Modelo anterior 2018</t>
  </si>
  <si>
    <t>Modelo anterior 2020</t>
  </si>
  <si>
    <t>Modelo anterior 2021</t>
  </si>
  <si>
    <t>Modelo anterior 2022</t>
  </si>
  <si>
    <t>Modelo anterior 2023</t>
  </si>
  <si>
    <t>Modelo anterior 2024</t>
  </si>
  <si>
    <t>Modems y ONT</t>
  </si>
  <si>
    <t>Tecnología</t>
  </si>
  <si>
    <t>Undiad</t>
  </si>
  <si>
    <t>MXN</t>
  </si>
  <si>
    <t>Unidad Terminal de Datos https://downloads.telmex.com/pdf/ServiciosMercadoMasivo.pdf</t>
  </si>
  <si>
    <t>VDSL</t>
  </si>
  <si>
    <t>ONT</t>
  </si>
  <si>
    <t>Costos nuevos equipos terminales</t>
  </si>
  <si>
    <t>Costos reposicióm equipos terminales</t>
  </si>
  <si>
    <t>Costos total equipos terminales</t>
  </si>
  <si>
    <t>FTTC</t>
  </si>
  <si>
    <t>FTTH</t>
  </si>
  <si>
    <t>Precio implícito promedio ponderado por tecnología</t>
  </si>
  <si>
    <t>Estimación de costos evitados equipos terminales</t>
  </si>
  <si>
    <t>Costos evitados equipos terminales</t>
  </si>
  <si>
    <t>Acometidas</t>
  </si>
  <si>
    <t>Modelos servicios auxiliares</t>
  </si>
  <si>
    <t>Fibra</t>
  </si>
  <si>
    <t>Costo total acometidas</t>
  </si>
  <si>
    <t>Precio de referencia</t>
  </si>
  <si>
    <t>Estimación de costos evitados acometida</t>
  </si>
  <si>
    <t>Representación acometida</t>
  </si>
  <si>
    <t>Represntación acometida  SRL</t>
  </si>
  <si>
    <t>Costo evitado asociado a acometida</t>
  </si>
  <si>
    <t>Costos acometidas de cobre</t>
  </si>
  <si>
    <t>Costos acometidas de fibra óptica</t>
  </si>
  <si>
    <t>Nombre de Plan/Paquete</t>
  </si>
  <si>
    <t>Modalidad*</t>
  </si>
  <si>
    <t>Tipo de Servicio*</t>
  </si>
  <si>
    <t>Precio</t>
  </si>
  <si>
    <t>Nota</t>
  </si>
  <si>
    <t>Fibra Óptica</t>
  </si>
  <si>
    <t>Estimación del factor de simetría</t>
  </si>
  <si>
    <t>Calificación real del bucle de cobre</t>
  </si>
  <si>
    <t>Muestra representativa</t>
  </si>
  <si>
    <t xml:space="preserve">Velocidad Contratada </t>
  </si>
  <si>
    <t>Promedio de Calificación del bucle 
2019</t>
  </si>
  <si>
    <t>Cuenta de Usuarios 
2019</t>
  </si>
  <si>
    <r>
      <rPr>
        <b/>
        <sz val="9"/>
        <rFont val="Arial"/>
        <family val="2"/>
      </rPr>
      <t>Fuente:</t>
    </r>
    <r>
      <rPr>
        <sz val="9"/>
        <rFont val="Arial"/>
        <family val="2"/>
      </rPr>
      <t xml:space="preserve"> IFT/221/UPR/DG-CIN/123/2019</t>
    </r>
  </si>
  <si>
    <t>Acceso</t>
  </si>
  <si>
    <t>Tipo de servicio</t>
  </si>
  <si>
    <t>Velocidad nominal de bajada (Mbps)</t>
  </si>
  <si>
    <t>Velocidad nominal de subida (Kbps)</t>
  </si>
  <si>
    <t xml:space="preserve">Calidad </t>
  </si>
  <si>
    <t>Velocidad nominal de bajada real (calificación real del bucle)</t>
  </si>
  <si>
    <t>Velocidad nominal de bajada</t>
  </si>
  <si>
    <t>Proporcion Subida vs Bajada</t>
  </si>
  <si>
    <t>Factor de simetría</t>
  </si>
  <si>
    <t>Unidad - &gt;</t>
  </si>
  <si>
    <t>Kbps</t>
  </si>
  <si>
    <t>Cobre, FTTN, FTTC</t>
  </si>
  <si>
    <t>Asimétrico</t>
  </si>
  <si>
    <t>Datos, Doble calidad, Doble calidad con portabilidad</t>
  </si>
  <si>
    <t>BE, Doble, Datos Generales, Triple</t>
  </si>
  <si>
    <t>Se estima la proporción del ancho de banda de subida necesario para hacer simétrico al perfil</t>
  </si>
  <si>
    <t>Fibra FTTH</t>
  </si>
  <si>
    <t>Simétrico</t>
  </si>
  <si>
    <r>
      <t xml:space="preserve">Se estima el promedio simple por perfil asimétrico </t>
    </r>
    <r>
      <rPr>
        <sz val="9"/>
        <rFont val="Arial"/>
        <family val="2"/>
      </rPr>
      <t>de cobre</t>
    </r>
  </si>
  <si>
    <t>Adicionado para la estimación de perfiles simétricos</t>
  </si>
  <si>
    <t>Representación del precio implícitos de los perfiles simétricos</t>
  </si>
  <si>
    <t>Tarifas de los planes simétricos</t>
  </si>
  <si>
    <t xml:space="preserve">Velocidad </t>
  </si>
  <si>
    <t>Tarifa sin impuestos</t>
  </si>
  <si>
    <t>Comentarios</t>
  </si>
  <si>
    <t>La tarifa con impuestos se adiciona al del "Paquete Conectes Negocio"</t>
  </si>
  <si>
    <t>La tarifa con impuestos se adiciona al del "Paquete Mi Negocio"</t>
  </si>
  <si>
    <t>La tarifa con impuestos se adiciona al del paquete "Paquete SuperNegocio"</t>
  </si>
  <si>
    <t>Velocidad Simétrica Telmex Negocio Ilimitado 1</t>
  </si>
  <si>
    <t>La tarifa con impuestos se adiciona al del paquete "Paquete Telmex Negocio 1"</t>
  </si>
  <si>
    <t>Velocidad Simétrica Telmex Negocio Ilimitado 2</t>
  </si>
  <si>
    <t>La tarifa con impuestos se adiciona al del paquete "Paquete Telmex Negocio 2"</t>
  </si>
  <si>
    <t>Velocidad Simétrica Telmex Negocio limitado 3</t>
  </si>
  <si>
    <t>La tarifa con impuestos se adiciona al del paquete "Paquete Telmex Negocio 3"</t>
  </si>
  <si>
    <t>Tarifas de los planes a los cuales se adicionan los planes simétricos</t>
  </si>
  <si>
    <t>Velocidad de subida</t>
  </si>
  <si>
    <t>Velocidad de bajada</t>
  </si>
  <si>
    <t xml:space="preserve">Precio Implícito de la Banda Ancha post descuento </t>
  </si>
  <si>
    <t>Paquete SuperNegocio</t>
  </si>
  <si>
    <t>Representación Tarifas de servicios simétricos adicionales a planes y paquetes</t>
  </si>
  <si>
    <t>Tarifa 
Perfil simétrico / Perfil asímetrico</t>
  </si>
  <si>
    <t>Precio implícito por perfil del Mbps</t>
  </si>
  <si>
    <t>Precio implícito por perfil del Mbps Simétrico</t>
  </si>
  <si>
    <t>Parámetros regresion lineal</t>
  </si>
  <si>
    <t>Velocidad Simétrica Conectes Negocio</t>
  </si>
  <si>
    <t>Para clientes que cuenten con Paquete Conectes Negocio</t>
  </si>
  <si>
    <t>b</t>
  </si>
  <si>
    <t>Velocidad Simétrica Mi Negocio</t>
  </si>
  <si>
    <t>Para clientes que cuenten con Paquete Mi Negocio</t>
  </si>
  <si>
    <t>a</t>
  </si>
  <si>
    <t>Velocidad Simétrica SuperNegocio</t>
  </si>
  <si>
    <t>Para clientes que cuenten con Paquete SuperNegocio</t>
  </si>
  <si>
    <t>Velocidad Simétrica Telmex Negocio Sin Límetes 1</t>
  </si>
  <si>
    <t>Para clientes que cuenten con PaqueteTelmex Negocio Sin Límites 1</t>
  </si>
  <si>
    <t>Velocidad Simétrica Telmex Negocio Sin Límetes 2</t>
  </si>
  <si>
    <t>Para clientes que cuenten con PaqueteTelmex Negocio Sin Límites 2</t>
  </si>
  <si>
    <t>Parámetros regresion transformados (regresión Log - Log)</t>
  </si>
  <si>
    <t>Velocidad Simétrica Telmex Negocio Sin Límetes 3</t>
  </si>
  <si>
    <t>Para clientes que cuenten con PaqueteTelmex Negocio Sin Límites 3</t>
  </si>
  <si>
    <t>a (exp c )</t>
  </si>
  <si>
    <t>Cálculos principales</t>
  </si>
  <si>
    <t>Check</t>
  </si>
  <si>
    <t>Información general de planes y paquetes</t>
  </si>
  <si>
    <t>Telefonía Fija, Internet Fijo, Telefonía Fija+ Internet Fijo</t>
  </si>
  <si>
    <r>
      <rPr>
        <b/>
        <sz val="9"/>
        <rFont val="Arial"/>
        <family val="2"/>
      </rPr>
      <t>Fuente:</t>
    </r>
    <r>
      <rPr>
        <sz val="9"/>
        <rFont val="Arial"/>
        <family val="2"/>
      </rPr>
      <t xml:space="preserve"> AEP</t>
    </r>
  </si>
  <si>
    <t>Modalidad del servicio</t>
  </si>
  <si>
    <t>Residencial/No Residencial</t>
  </si>
  <si>
    <t>Suscripciones de banda ancha fija por plan/paquete en el año de referencia</t>
  </si>
  <si>
    <t># Suscripciones</t>
  </si>
  <si>
    <t>vector.users.broadband</t>
  </si>
  <si>
    <t>Verifica consistencia con la cantidad de suscripciones de banda ancha fija del operador</t>
  </si>
  <si>
    <t>Porcentaje respecto al total</t>
  </si>
  <si>
    <t>vector.distribution.users.broadband</t>
  </si>
  <si>
    <t>Líneas de telefonía fija por plan/paquete en el año de referencia</t>
  </si>
  <si>
    <t># Líneas telefónicas</t>
  </si>
  <si>
    <t>vector.users.telephone</t>
  </si>
  <si>
    <t>vector.users.distribution.telephone</t>
  </si>
  <si>
    <t>Periodicidad asumida para estimación de ingresos</t>
  </si>
  <si>
    <t>Periodicidad</t>
  </si>
  <si>
    <t>Meses</t>
  </si>
  <si>
    <t>vector.periodicity</t>
  </si>
  <si>
    <t>Otros vectores auxiliares</t>
  </si>
  <si>
    <t>Se encuentra vigente el plan/paquete?</t>
  </si>
  <si>
    <t>Binario (1=Si, 0=No)</t>
  </si>
  <si>
    <t>vector.plans.available</t>
  </si>
  <si>
    <r>
      <t xml:space="preserve">Se trata de un plan/paquete </t>
    </r>
    <r>
      <rPr>
        <b/>
        <sz val="9"/>
        <rFont val="Arial"/>
        <family val="2"/>
      </rPr>
      <t>residencial que incluye telefonía fija</t>
    </r>
    <r>
      <rPr>
        <sz val="9"/>
        <rFont val="Arial"/>
        <family val="2"/>
      </rPr>
      <t>?</t>
    </r>
  </si>
  <si>
    <t>vector.plans.with.line.rental.residential</t>
  </si>
  <si>
    <r>
      <t xml:space="preserve">Se trata de un plan/paquete </t>
    </r>
    <r>
      <rPr>
        <b/>
        <sz val="9"/>
        <rFont val="Arial"/>
        <family val="2"/>
      </rPr>
      <t>no residencial que incluye telefonía fija</t>
    </r>
    <r>
      <rPr>
        <sz val="9"/>
        <rFont val="Arial"/>
        <family val="2"/>
      </rPr>
      <t>?</t>
    </r>
  </si>
  <si>
    <t>vector.plans.with.line.rental.noresidential</t>
  </si>
  <si>
    <t>Estimación del precio implícito de los servicios asociados a voz que integran los plaques y paquetes</t>
  </si>
  <si>
    <t>Cantidad de líneas telefónicas incluidas en plan o paquete</t>
  </si>
  <si>
    <t># líneas incluidas</t>
  </si>
  <si>
    <t>vector.lines.publicited</t>
  </si>
  <si>
    <t>Renta de línea</t>
  </si>
  <si>
    <t>vector.implicit.prices.line.rental.before.discount</t>
  </si>
  <si>
    <t>Valor de la renta de línea (considerando todas las líneas telefónicas que incluye el plan/paquete)</t>
  </si>
  <si>
    <t>MXN/ Mes</t>
  </si>
  <si>
    <r>
      <rPr>
        <b/>
        <sz val="9"/>
        <rFont val="Arial"/>
        <family val="2"/>
      </rPr>
      <t>Fuente:</t>
    </r>
    <r>
      <rPr>
        <sz val="9"/>
        <rFont val="Arial"/>
        <family val="2"/>
      </rPr>
      <t xml:space="preserve"> Estimación IFT</t>
    </r>
  </si>
  <si>
    <t>Servicios de voz, no incluidos en la renta de la línea</t>
  </si>
  <si>
    <r>
      <t>Fuente:</t>
    </r>
    <r>
      <rPr>
        <sz val="9"/>
        <rFont val="Arial"/>
        <family val="2"/>
      </rPr>
      <t xml:space="preserve"> AEP</t>
    </r>
  </si>
  <si>
    <t>vector.implicit.prices.voice.before.discount</t>
  </si>
  <si>
    <t>Servicios digitales, que no se encuentran considerados en la renta de la línea</t>
  </si>
  <si>
    <t>vector.implicit.prices.digitalservices.before.discount</t>
  </si>
  <si>
    <t>Cantidad de servicios digitales incluidos en plan/paquete</t>
  </si>
  <si>
    <t>Valor de servicios digitales</t>
  </si>
  <si>
    <t>Valor de servicios digitales en la renta de todas las líneas del plan/paquete</t>
  </si>
  <si>
    <t>Precios implícitos estimados para los servicios asociados a voz</t>
  </si>
  <si>
    <t>Proporción de valor de los servicios digitales incluidos en la renta mensual de los servicios (voz y línea).</t>
  </si>
  <si>
    <t>Estimación del valor dentro del plan/paquetes de los conceptos que integran el servicio</t>
  </si>
  <si>
    <t xml:space="preserve">   Renta de línea</t>
  </si>
  <si>
    <t>MXN/Mes</t>
  </si>
  <si>
    <r>
      <rPr>
        <b/>
        <sz val="9"/>
        <rFont val="Arial"/>
        <family val="2"/>
      </rPr>
      <t xml:space="preserve">Fuente: </t>
    </r>
    <r>
      <rPr>
        <sz val="9"/>
        <rFont val="Arial"/>
        <family val="2"/>
      </rPr>
      <t>Estimación IFT</t>
    </r>
  </si>
  <si>
    <t>vector.implicit.prices.line.rental.after.discount</t>
  </si>
  <si>
    <t xml:space="preserve">   Servicios de voz</t>
  </si>
  <si>
    <t>vector.implicit.prices.voice.after.discount</t>
  </si>
  <si>
    <t xml:space="preserve">   Servicios Digitales</t>
  </si>
  <si>
    <t>vector.implicit.prices.digitalservices.after.discount</t>
  </si>
  <si>
    <t>Estimación del precio implícito de los servicios asociados a banda ancha que integran los plaques y paquetes</t>
  </si>
  <si>
    <t>Precio implícito de los conceptos que integran el servicio</t>
  </si>
  <si>
    <t xml:space="preserve">   Banda ancha</t>
  </si>
  <si>
    <r>
      <t xml:space="preserve">Fuente: </t>
    </r>
    <r>
      <rPr>
        <sz val="9"/>
        <rFont val="Arial"/>
        <family val="2"/>
      </rPr>
      <t>AEP</t>
    </r>
  </si>
  <si>
    <t>vector.implicit.prices.broadband.before.discount</t>
  </si>
  <si>
    <t xml:space="preserve">   Claro video</t>
  </si>
  <si>
    <t>Información sobre Claro video</t>
  </si>
  <si>
    <t>Se ofrece Claro video sin costo para a los usuarios finales durante un periodo de tiempo?</t>
  </si>
  <si>
    <t>Duración del periodo de tiempo (en meses) en que ofrece a los usuarios finales el servicio de Claro video sin costo</t>
  </si>
  <si>
    <t>Nivel de descuento sobre los precios implícitos de los conceptos que integran el servicio</t>
  </si>
  <si>
    <t>Estimación del precio dentro del plan/paquetes de los Conceptos que integran el servicio</t>
  </si>
  <si>
    <t xml:space="preserve">   Banda ancha dentro de plan/paquete</t>
  </si>
  <si>
    <t>vector.implicit.prices.broadband.after.discount</t>
  </si>
  <si>
    <t>lista despegable para seleccionar los vectores de precios.</t>
  </si>
  <si>
    <t xml:space="preserve">Banda ancha </t>
  </si>
  <si>
    <t xml:space="preserve">   Claro video dentro de plan/paquete</t>
  </si>
  <si>
    <t>Descuentos asociados a renta de línea y servicios de voz</t>
  </si>
  <si>
    <t>Renta de Línea</t>
  </si>
  <si>
    <t>Servicios de voz</t>
  </si>
  <si>
    <t>Estimaciones</t>
  </si>
  <si>
    <t>Número de líneas telefónicas del AEP</t>
  </si>
  <si>
    <t>Información de líneas residenciales y no residenciales</t>
  </si>
  <si>
    <t>Suscriptores adicionales netos</t>
  </si>
  <si>
    <t>Suscriptores adicionales brutos</t>
  </si>
  <si>
    <t>Información de líneas residenciales - que brindan servicios de voz en modalidad single play</t>
  </si>
  <si>
    <t>Información de líneas no residenciales - que brindan servicios de voz en modalidad single play</t>
  </si>
  <si>
    <t>Promedio anual de líneas que brindan servicios de voz en modalidad single play</t>
  </si>
  <si>
    <t>No residenciales</t>
  </si>
  <si>
    <t>Suscriptores adicionales brutos de banda ancha</t>
  </si>
  <si>
    <t>Número máximo de líneas adicionales brutas</t>
  </si>
  <si>
    <t>Estimación de ingresos anuales</t>
  </si>
  <si>
    <t>Ingresos por instalaciones de líneas</t>
  </si>
  <si>
    <t>MXN/año</t>
  </si>
  <si>
    <t>Ingresos por renta mensual - antes desde considerar precios implícitos</t>
  </si>
  <si>
    <t>Ingresos por renta mensual - considerando precios implícitos de los servicios</t>
  </si>
  <si>
    <t>Estimación de costos evitados</t>
  </si>
  <si>
    <t>Costos de facturación (incluyendo el sistema de facturación de clientes minoristas)</t>
  </si>
  <si>
    <t>Costos de facturación</t>
  </si>
  <si>
    <t>Deuda incobrable</t>
  </si>
  <si>
    <t xml:space="preserve">Costo de la deuda incobrable sobre el total de ingresos </t>
  </si>
  <si>
    <t xml:space="preserve">Costos de marketing y ventas por suscriptor bruto adicional </t>
  </si>
  <si>
    <t xml:space="preserve">Gasto mínimo en marketing y ventas sobre el total de ingresos </t>
  </si>
  <si>
    <t>Costos de marketing y publicidad</t>
  </si>
  <si>
    <t>Número de suscriptores por empleado</t>
  </si>
  <si>
    <t>Costo mensual por empleado</t>
  </si>
  <si>
    <t>Costos minoristas de atención al cliente</t>
  </si>
  <si>
    <t>Asignado proporcionalmente respecto al nivel de ingresos para renta de línea y servicios de voz</t>
  </si>
  <si>
    <t>Personal de atención al cliente minorista</t>
  </si>
  <si>
    <t># empleados</t>
  </si>
  <si>
    <t>Personal administrativo</t>
  </si>
  <si>
    <t>Total empleados</t>
  </si>
  <si>
    <t>Costos de alquiler de oficinas</t>
  </si>
  <si>
    <t>Superficie de suelo por empleado</t>
  </si>
  <si>
    <t>Costos por metro cuadrado</t>
  </si>
  <si>
    <t>MXN / Mes / m2</t>
  </si>
  <si>
    <t>Costos administrativos sobre el total de ingresos</t>
  </si>
  <si>
    <t>Beneficio minorista</t>
  </si>
  <si>
    <t>Diferencial de ingresos y total de costos evitados</t>
  </si>
  <si>
    <t>Diferencial de ingresos al considerar precios implícitos</t>
  </si>
  <si>
    <t xml:space="preserve">Total costos retail minus </t>
  </si>
  <si>
    <t>Resumen</t>
  </si>
  <si>
    <t>Total ingresos (antes de considerar precios implícitos)</t>
  </si>
  <si>
    <t>Total costos retail minus</t>
  </si>
  <si>
    <t>Otros costos (y ganancias)</t>
  </si>
  <si>
    <t>Nivel de descuento total</t>
  </si>
  <si>
    <t>Retail.minus.line.rental</t>
  </si>
  <si>
    <t>Retail.minus.additional.calls</t>
  </si>
  <si>
    <t>Factor de representación del precio implícito</t>
  </si>
  <si>
    <t>Costos evitados asociados</t>
  </si>
  <si>
    <t>Retail.minus.line.rental.retail.minus.items.only</t>
  </si>
  <si>
    <t>Retail.minus.additional.calls.retail.minus.items.only</t>
  </si>
  <si>
    <t>Descuentos asociados a banda ancha</t>
  </si>
  <si>
    <t>Número de suscripciones de banda ancha fija del AEP</t>
  </si>
  <si>
    <t>Información de banda ancha fija residencial y no residencial</t>
  </si>
  <si>
    <t>Información de suscripciones residenciales</t>
  </si>
  <si>
    <t>Broadband.gross.adds.residential.with.line.rental</t>
  </si>
  <si>
    <t>Información de suscripciones no residenciales</t>
  </si>
  <si>
    <t>Broadband.gross.adds.non.residential</t>
  </si>
  <si>
    <t>Promedio anual de suscripciones según modalidad</t>
  </si>
  <si>
    <t xml:space="preserve"> Los ingresos por renta de línea no se consideran para servicios de voz, y por tanto se excluyen de los de banda ancha fija. </t>
  </si>
  <si>
    <t>Ingresos por instalaciones y por renta mensual (considerando precios implícitos de los servicios)</t>
  </si>
  <si>
    <t>Costos equipos asociados a cobre (ADSL/VDSL)</t>
  </si>
  <si>
    <t>Costos equipos asociados a cobre (VDSL)</t>
  </si>
  <si>
    <t>Costos equipos asociados a fibra (FTTH)</t>
  </si>
  <si>
    <t>Retail.minus.int</t>
  </si>
  <si>
    <t>Retail.minus.int.retail.minus.items.only</t>
  </si>
  <si>
    <t>Estimación de tarifas del Servicio de Reventa de Línea Telefónica (SRLT)</t>
  </si>
  <si>
    <t>Resultados del modelo con …</t>
  </si>
  <si>
    <t>Datos sin anonimizar</t>
  </si>
  <si>
    <t>Datos anonimizados</t>
  </si>
  <si>
    <t>Planes y paquetes de telefonía fija en modalidad single play</t>
  </si>
  <si>
    <t>Precio mayorista, excluyendo impuestos</t>
  </si>
  <si>
    <t>Renta Mensual</t>
  </si>
  <si>
    <t>Otros planes y paquetes adicionales relativos a telefonía fija en modalidad single play</t>
  </si>
  <si>
    <t>Llamada de Servicio Medido, 030, 040, 07X</t>
  </si>
  <si>
    <t>Cobro por llamada</t>
  </si>
  <si>
    <t>Se toma la "Tarifa por llamada local excedente" del libro de tarifas de Telmex.</t>
  </si>
  <si>
    <t xml:space="preserve">El Que Llama Paga </t>
  </si>
  <si>
    <t>Llamada 020  -  090</t>
  </si>
  <si>
    <t>Conforme a registro</t>
  </si>
  <si>
    <t>De acuerdo con la OREDA 2016</t>
  </si>
  <si>
    <t>Llamada 031</t>
  </si>
  <si>
    <t>Se revisa el documento de Servicios de Mercado Masivo. Disponible en: https://downloads.telmex.com/pdf/ServiciosMercadoMasivo.pdf?_ga=2.182240679.1800780908.1543682738-468803987.1536425792</t>
  </si>
  <si>
    <t>Llamada a números de emergencia 060, 061, 065, 066, 068, 080, 088, 089</t>
  </si>
  <si>
    <t>De acuerdo a la OREDA 2016</t>
  </si>
  <si>
    <t>Llamada  800, 900</t>
  </si>
  <si>
    <t>Baja Temporal de la Línea Telefónica comercial</t>
  </si>
  <si>
    <t>Baja Temporal de la Línea Telefónica residencial</t>
  </si>
  <si>
    <t>Larga Distancia Internacional (Canadá)</t>
  </si>
  <si>
    <t>Larga Distancia Internacional a EUA (Banda Norte)</t>
  </si>
  <si>
    <t>Larga Distancia Internacional a EUA (Banda Sur)</t>
  </si>
  <si>
    <t>Larga Distancia Mundial Centroamérica</t>
  </si>
  <si>
    <t>Larga Distancia Mundial Europa</t>
  </si>
  <si>
    <t>Larga Distancia Mundial Resto del Mundo</t>
  </si>
  <si>
    <t>Larga Distancia Mundial Sudamérica</t>
  </si>
  <si>
    <t>Larga Distanicia Internacional a EUA (Frontera)</t>
  </si>
  <si>
    <t>Plan Por Segundo ( Banda Norte)</t>
  </si>
  <si>
    <t>Plan Por Segundo ( Banda Sur)</t>
  </si>
  <si>
    <t>Plan Por Segundo ( EQLLP )</t>
  </si>
  <si>
    <t>Plan Por Segundo ( Frontera)</t>
  </si>
  <si>
    <t>Plan Por Segundo ( Resto del Mundo)</t>
  </si>
  <si>
    <t>Plan Por Segundo (Canadá)</t>
  </si>
  <si>
    <t>Plan Por Segundo (Centroamérica)</t>
  </si>
  <si>
    <t>Plan Por Segundo (Europa)</t>
  </si>
  <si>
    <t>Plan Por Segundo (Sudamérica)</t>
  </si>
  <si>
    <t>Servicio Medido Comercial</t>
  </si>
  <si>
    <t>Servicio Medido Residencial</t>
  </si>
  <si>
    <t>Línea Negocio 1000</t>
  </si>
  <si>
    <t>Línea Negocio 200</t>
  </si>
  <si>
    <t>Línea Negocio 500</t>
  </si>
  <si>
    <t>Minutos Flex Negocio 200</t>
  </si>
  <si>
    <t>Minutos Flex Negocio 500</t>
  </si>
  <si>
    <t>Tarifa Unica (Banda Norte a EUA)</t>
  </si>
  <si>
    <t>Tarifa Unica (Banda Sur a EUA)</t>
  </si>
  <si>
    <t>Tarifa Unica (Canadá)</t>
  </si>
  <si>
    <t>Tarifa Unica (Centroamérica)</t>
  </si>
  <si>
    <t>Tarifa Unica (Europa)</t>
  </si>
  <si>
    <t>Tarifa Unica (Frontera EUA)</t>
  </si>
  <si>
    <t>Tarifa Unica (Resto del Mundo)</t>
  </si>
  <si>
    <t>Tarifa Unica (Sudamérica)</t>
  </si>
  <si>
    <t>Pago único por activación</t>
  </si>
  <si>
    <t>Renta mensual por Servicios Digitales (SD)</t>
  </si>
  <si>
    <t>Estimación de tarifas del Servicio de Reventa de Internet (SRI)</t>
  </si>
  <si>
    <t>Tarifas de planes y paquetes</t>
  </si>
  <si>
    <t>Velocidad bajada</t>
  </si>
  <si>
    <t>Velocidad subida</t>
  </si>
  <si>
    <t>Estimación de tarifas del Servicio de Reventa de Paquetes (SRP)</t>
  </si>
  <si>
    <t>Precios implícitos</t>
  </si>
  <si>
    <t>Servicios Digitales</t>
  </si>
  <si>
    <t>Distribución de Usuarios</t>
  </si>
  <si>
    <t>Usuarios</t>
  </si>
  <si>
    <t>Tarifas de servicios adicionales a planes y paquetes</t>
  </si>
  <si>
    <t>Velocidad Simétrica Negocio 649</t>
  </si>
  <si>
    <t>Velocidad Simétrica Supernegocio</t>
  </si>
  <si>
    <t>Velocidad Simétrica Negocio 999</t>
  </si>
  <si>
    <t>Infinitum bajo demanda 100 MB - 3 días</t>
  </si>
  <si>
    <t>Infinitum bajo demanda 100 MB - 7 días</t>
  </si>
  <si>
    <t>Infinitum bajo demanda 100 MB - 15 días</t>
  </si>
  <si>
    <t>Infinitum bajo demanda 150 MB - 3 días</t>
  </si>
  <si>
    <t>Infinitum bajo demanda 150 MB - 7 días</t>
  </si>
  <si>
    <t>Infinitum bajo demanda 150 MB - 15 días</t>
  </si>
  <si>
    <t>Infinitum bajo demanda 200 MB - 3 días</t>
  </si>
  <si>
    <t>Infinitum bajo demanda 200 MB - 7 días</t>
  </si>
  <si>
    <t>Infinitum bajo demanda 200 MB - 15 días</t>
  </si>
  <si>
    <t>Datos aportados por el AEP</t>
  </si>
  <si>
    <t>Los datos presentes en las hojas ubicadas a la derecha fueron aportados por AEP para el desarrollo del modelo en comento</t>
  </si>
  <si>
    <t>Información de tarifas de planes y paquetes</t>
  </si>
  <si>
    <t xml:space="preserve">a. Tarifas de planes y paquetes </t>
  </si>
  <si>
    <t xml:space="preserve">Reportar los datos relativos a planes y paquetes que los usuarios pueden contratar con Telmex y Telnor, mediante una línea nueva o existente, </t>
  </si>
  <si>
    <t xml:space="preserve">sin que sea necesaria la contratación previa de un plan o paquete (por ejemplo, “Paquete 333”, “Infinitum Negocio 549”, etc.)
Asimismo, deberá proporcionar información tarifaria relacionada con la contratación adicional de Servicios de Telecomunicaciones Móviles ("STM") o servicios Over The Top  (“OTT” por sus sigas en inglés) o cualquier otra promoción por la cual modifique que ajuste el monto de la renta mensual de cada uno de los planes y paquetes (por ejemplo, domiciliación de pago). </t>
  </si>
  <si>
    <t>Tipo de Contraprestación*</t>
  </si>
  <si>
    <t>Renta mensual (sin impuestos)</t>
  </si>
  <si>
    <t>Renta mensual (con impuestos)</t>
  </si>
  <si>
    <t>¿Cuenta con tarifa preferencial por la contratación de algún servicio de Telecomunicaciones Móviles (STM) que ajuste el monto de la renta mensual? (Si/No)</t>
  </si>
  <si>
    <t>Tarifa STM (sin impuestos)</t>
  </si>
  <si>
    <t>Renta menusual preferencial por la contratación del STM (sin impuestos)</t>
  </si>
  <si>
    <t>Términos y condiciones</t>
  </si>
  <si>
    <t>¿Cuenta con tarifa preferencial por la contratación de algún servicio OTT que ajuste el monto de la renta mensual? (Si/No)</t>
  </si>
  <si>
    <t>Tarifa Netflix Estándar con anuncios (sin impuestos)</t>
  </si>
  <si>
    <t>Renta menusual preferencial por la contratación del Netflix Estándar con anuncios (sin impuestos)</t>
  </si>
  <si>
    <t>Tarifa Netflix Estándar (sin impuestos)</t>
  </si>
  <si>
    <t>Renta menusual preferencial por la contratación del Netflix Estándar (sin impuestos)</t>
  </si>
  <si>
    <t>Tarifa Netflix Premium (sin impuestos)</t>
  </si>
  <si>
    <t>Renta menusual preferencial por la contratación del Netflix Premium (sin impuestos)</t>
  </si>
  <si>
    <t>Tarifa Prime Video (sin impuestos)</t>
  </si>
  <si>
    <t>Renta menusual preferencial por la contratación Prime Video (sin impuestos)</t>
  </si>
  <si>
    <t>Tarifa max (sin impuestos)</t>
  </si>
  <si>
    <t>Renta menusual preferencial por la contratación max (sin impuestos)</t>
  </si>
  <si>
    <t>Tarifa Disney + (sin impuestos)</t>
  </si>
  <si>
    <t>Renta menusual preferencial por la contratación Disney + (sin impuestos)</t>
  </si>
  <si>
    <t>Tarifa Star + (sin impuestos)</t>
  </si>
  <si>
    <t>Renta menusual preferencial por la contratación Star + (sin impuestos)</t>
  </si>
  <si>
    <t>Tarifa F1 TV Pro (sin impuestos)</t>
  </si>
  <si>
    <t>Renta menusual preferencial por la contratación F1 TV Pro (sin impuestos)</t>
  </si>
  <si>
    <t>Tarifa OTT #1 (sin impuestos)</t>
  </si>
  <si>
    <t>Renta menusual preferencial por la contratación OTT #1 (sin impuestos)</t>
  </si>
  <si>
    <t>Tarifa OTT #2 (sin impuestos)</t>
  </si>
  <si>
    <t>Renta menusual preferencial por la contratación OTT #2 (sin impuestos)</t>
  </si>
  <si>
    <t>¿Cuenta con la promoción para paquetes superiores, por las que se ajuste el monto de la renta mensual? (Si/No)</t>
  </si>
  <si>
    <t>Renta menusual preferencial ajustada por la promición para paquetes superiores (sin impuestos)</t>
  </si>
  <si>
    <t>Renta menusual preferencial ajustada por la promición para paquetes superiores (con impuestos)</t>
  </si>
  <si>
    <t>¿Tiene otras promociones en el paquete que ajusten el precio de la renta mensual o la velocidad de bajada o paquete simétrico (por ejemplo, domiciliación de pago)? (Si/No)</t>
  </si>
  <si>
    <t>Nombre de la promoción/promociones</t>
  </si>
  <si>
    <t>Renta menusual con tarifa preferencia (sin impuestos)</t>
  </si>
  <si>
    <t>Renta menusual con tarifa preferencia (con impuestos)</t>
  </si>
  <si>
    <t>Telefonía fija + Internet fijo</t>
  </si>
  <si>
    <t>No</t>
  </si>
  <si>
    <t>Internet fijo</t>
  </si>
  <si>
    <t>PAQ NEGOCIO 649 SIMET</t>
  </si>
  <si>
    <t>PAQ NEGOCIO 999 SIMET</t>
  </si>
  <si>
    <t>PAQ TELMEX NEG SIN LIM 1 SIMET</t>
  </si>
  <si>
    <t>PAQ TELMEX NEG SIN LIM 2 SIMET</t>
  </si>
  <si>
    <t>PAQ TELMEX NEG SIN LIM 3 SIMET</t>
  </si>
  <si>
    <t>Nota: Dicha información deberá corresponder al 31 de diciembre de 2023.</t>
  </si>
  <si>
    <t>* Especificar este dato empleando el listado que se despliega al seleccionar la celda correspondiente.</t>
  </si>
  <si>
    <t>Por favor, inserte filas adicionales para añadir información de todas las posibilidades.</t>
  </si>
  <si>
    <t xml:space="preserve">b. Tarifas de planes y paquetes </t>
  </si>
  <si>
    <t xml:space="preserve">Nota: Dicha información deberá corresponder al 30 de junio de 2024. </t>
  </si>
  <si>
    <t>c. Tarifas de otros servicios 2023 y 2024</t>
  </si>
  <si>
    <r>
      <t xml:space="preserve">Reportar otros servicios </t>
    </r>
    <r>
      <rPr>
        <b/>
        <i/>
        <sz val="9"/>
        <rFont val="Arial"/>
        <family val="2"/>
      </rPr>
      <t xml:space="preserve">no considerados en a, </t>
    </r>
    <r>
      <rPr>
        <i/>
        <sz val="9"/>
        <rFont val="Arial"/>
        <family val="2"/>
      </rPr>
      <t>por ejemplo:</t>
    </r>
  </si>
  <si>
    <r>
      <rPr>
        <b/>
        <i/>
        <sz val="9"/>
        <rFont val="Arial"/>
        <family val="2"/>
      </rPr>
      <t>1)</t>
    </r>
    <r>
      <rPr>
        <i/>
        <sz val="9"/>
        <rFont val="Arial"/>
        <family val="2"/>
      </rPr>
      <t xml:space="preserve"> planes y paquetes relativos a servicios que para su aplicación es requisito contar con otro plan o paquete previamente contratado </t>
    </r>
  </si>
  <si>
    <t xml:space="preserve">(por ejemplo “Plan Lada Ahorro” que permite complementar una “Línea Comercial”  o "Línea Residencial" con tarifas de larga distancia dependiendo del rango de consumo) </t>
  </si>
  <si>
    <r>
      <t xml:space="preserve">o </t>
    </r>
    <r>
      <rPr>
        <b/>
        <i/>
        <sz val="9"/>
        <rFont val="Arial"/>
        <family val="2"/>
      </rPr>
      <t>2)</t>
    </r>
    <r>
      <rPr>
        <i/>
        <sz val="9"/>
        <rFont val="Arial"/>
        <family val="2"/>
      </rPr>
      <t xml:space="preserve"> servicios que son de diferente naturaleza</t>
    </r>
  </si>
  <si>
    <t>Sin impuestos</t>
  </si>
  <si>
    <t>Con impuestos</t>
  </si>
  <si>
    <t>Residencial y No Residencial</t>
  </si>
  <si>
    <t>Cobro por minuto</t>
  </si>
  <si>
    <t>Gastos de Instalación Residencial</t>
  </si>
  <si>
    <t>Cobro único</t>
  </si>
  <si>
    <t>Gastos de Instalación Comercial</t>
  </si>
  <si>
    <t>Gastos de Instalación Internet Infinitum</t>
  </si>
  <si>
    <t>La renta de la línea incluye 100 llamadas de Servicio Medido</t>
  </si>
  <si>
    <t>Cobro por segundo</t>
  </si>
  <si>
    <t>Lada 100 Frontera</t>
  </si>
  <si>
    <t>Cancelado el 24 de abril de 2019. Por lo tanto ya no se comercializa, sin embargo, hay clientes que conservan el servicio.</t>
  </si>
  <si>
    <t>Lada 100 Internacional (100 min)</t>
  </si>
  <si>
    <t>Lada 100 Internacional (50 min)</t>
  </si>
  <si>
    <t>Plan Lada Ahorro</t>
  </si>
  <si>
    <t>Plan que ofrece tarifas de larga distancia dependiendo del rango de consumo</t>
  </si>
  <si>
    <t>Lada Frontera Hogar con Lada Ahorro (Frontera)</t>
  </si>
  <si>
    <t>Lada Frontera Hogar con Lada Ahorro (Banda Norte)</t>
  </si>
  <si>
    <t>Lada Frontera Hogar con Tarifa Unica (Frontera)</t>
  </si>
  <si>
    <t>Lada Frontera Hogar con Tarifa Unica (Banda Norte)</t>
  </si>
  <si>
    <t>Plan Lada Frontera Negocios (Frontera)</t>
  </si>
  <si>
    <t>Plan Lada Frontera Negocios (Banda Norte)</t>
  </si>
  <si>
    <t>Plan 100 por 100 de Servicio Medido Local</t>
  </si>
  <si>
    <t>Plan 200 Minutos Lada Mundial</t>
  </si>
  <si>
    <t>Plan Lada Mundial 50 Minutos</t>
  </si>
  <si>
    <t>Plan LDI 50</t>
  </si>
  <si>
    <t>Cancelado el 18 de dicicembre de 2018. Por lo tanto ya no se comercializa, sin embargo, hay clientes que conservan el servicio.</t>
  </si>
  <si>
    <t>Plan Local 100 X 70</t>
  </si>
  <si>
    <t>Plan Local 50</t>
  </si>
  <si>
    <t xml:space="preserve">Plan Local Sin Límites </t>
  </si>
  <si>
    <t>Plan Negocio 100</t>
  </si>
  <si>
    <t>Cancelado el 13 de diciembre de 2018.  Por lo tanto ya no se comercializa, sin embargo, hay clientes que conservan el servicio.</t>
  </si>
  <si>
    <t>Línea Hogar 200</t>
  </si>
  <si>
    <t>Cancelado el 13 de noviembre de 2018. Por lo tanto ya no se comercializa, sin embargo, hay clientes que conservan el servicio.</t>
  </si>
  <si>
    <t>Línea Hogar 300</t>
  </si>
  <si>
    <t>Línea Hogar 400</t>
  </si>
  <si>
    <t>Infinitum Pack (100 x 100 Llamadas de Servicio Medido)</t>
  </si>
  <si>
    <t>Plan para clientes que tienen contratado el servicio de Infinitum. Cancelado el 13 de noviembre de 2018.  Por lo tanto ya no se comercializa, sin embargo, hay clientes que conservan el servicio.</t>
  </si>
  <si>
    <t>Infinitum Pack (Lada Internacional 100 x 150)</t>
  </si>
  <si>
    <t>Infinitum Pack (Lada Mundial)</t>
  </si>
  <si>
    <t>Red Multilinea</t>
  </si>
  <si>
    <t>Cancelado el 1° de marzo de 2023. Por lo tanto ya no se comercializa, sin embargo, hay clientes que conservan el servicio.</t>
  </si>
  <si>
    <t>Otro (describa el tipo de cobro)</t>
  </si>
  <si>
    <t>Inicio de vigencia 5/12/2019. Tarifa por evento. Aplica a los servicios residenciales: Paquete 289, Paquete Infinitum 333, Paquete 389, Paquete 435, Paquete 499, Infinitum 20 Mb e Infinitum 30 Mb . Aplica a los servicios comerciales: Paquete Conectes Negocio, Paquete Mi Negocio, Infinitum Negocio 20 Mb e Infinitum Negocio 30 Mb</t>
  </si>
  <si>
    <t>Inicio de vigencia 5/12/2019. Tarifa por evento. Aplica a los servicios residenciales: Paquete 289, Paquete Infinitum 333, Paquete 389, Paquete 435, Paquete 499, Paquete 599, Infinitum 20 Mb, Infinitum 30 Mb e Infinitum 150 Mb. Aplica a los servicios comerciales: Paquete Conectes Negocio, Paquete Mi Negocio, Paquete Supernegocio, Infinitum Negocio 20 Mb, Infinitum Negocio 30 Mb e Infinitum Negocio 150 Mb</t>
  </si>
  <si>
    <t>Infinitum play bajo demanda 100 MB - 3 días</t>
  </si>
  <si>
    <t>Inicio de vigencia 24/01/2020. Tarifa por evento. Aplica a los servicios residenciales: Paquete Infinitum Play 20, Paquete Infinitum Play 30, Paquete Infinitum Play 40, Infinitum Play 20 e Infinitum Play 30</t>
  </si>
  <si>
    <t>Infinitum play bajo demanda 100 MB - 7 días</t>
  </si>
  <si>
    <t>Infinitum play bajo demanda 100 MB - 15 días</t>
  </si>
  <si>
    <t>Infinitum play bajo demanda 150 MB - 3 días</t>
  </si>
  <si>
    <t>Infinitum play bajo demanda 150 MB - 7 días</t>
  </si>
  <si>
    <t>Infinitum play bajo demanda 150 MB - 15 días</t>
  </si>
  <si>
    <t>Infinitum play bajo demanda 200 MB - 3 días</t>
  </si>
  <si>
    <t>Inicio de vigencia 24/01/2020. Tarifa por evento. Paquete Infinitum Play 20, Paquete Infinitum Play 30, Paquete Infinitum Play 40, Paquete Infinitum Play 150, Infinitum Play 20, Infinitum Play 30 e Infinitum Play 150</t>
  </si>
  <si>
    <t>Infinitum play bajo demanda 200 MB - 7 días</t>
  </si>
  <si>
    <t>Infinitum play bajo demanda 200 MB - 15 días</t>
  </si>
  <si>
    <t xml:space="preserve">Nota: Dicha información deberá corresponder al 31 de diciembre de 2023 y al 30 de junio de 2024. </t>
  </si>
  <si>
    <t>Canasta de servicios incluidos en la tarifa de los planes y paquetes y por el pago de una tarifa preferencial</t>
  </si>
  <si>
    <t>Canasta de servicios incluidos y adicionales en la tarifa de los planes y paquetes</t>
  </si>
  <si>
    <t>Para llenar el siguiente cuadro se solicita proporcionar la información listada a continuación:</t>
  </si>
  <si>
    <t>a) Canasta de servicios que se incluyen como parte de la renta mensual</t>
  </si>
  <si>
    <t>b) Canasta de servicios que se incluyen como parte de la tarifa preferencial de la renta mensual por la adquisición de servicios STM u OTT</t>
  </si>
  <si>
    <t>c) Canasta de promociones por las cuales se modifique la renta mensual del plan o paquete (por ejemplo, domiciliación de pago).</t>
  </si>
  <si>
    <t>Periodo al que corresponde</t>
  </si>
  <si>
    <t>Canasta de servicios que se incluyen como parte de la renta mensual</t>
  </si>
  <si>
    <t>Renta mensual</t>
  </si>
  <si>
    <t>Línea telefónica</t>
  </si>
  <si>
    <t>Servicios digitales</t>
  </si>
  <si>
    <t>Servicios de internet</t>
  </si>
  <si>
    <t>Servicios STM incluidos en la renta mensual</t>
  </si>
  <si>
    <t>Servicios OTT incluidos en la renta mensual</t>
  </si>
  <si>
    <t>Otros servicios</t>
  </si>
  <si>
    <t>Cargos adicionales</t>
  </si>
  <si>
    <t>Tarifa preferencial por pago de STM</t>
  </si>
  <si>
    <t>Tarifa preferencial por pago de servicios OTT</t>
  </si>
  <si>
    <t>Promociones adicionales que modifiquen la renta mensual (por ejemplo, domiciliación de pago)</t>
  </si>
  <si>
    <t>Cantidad de líneas incluidas</t>
  </si>
  <si>
    <t>Llamadas locales incluidas</t>
  </si>
  <si>
    <t>Minutos de Larga Distancia Internacional (Estados Unidos y Canadá) incluidos</t>
  </si>
  <si>
    <t>Minutos a Larga Distancia Mundial incluidos</t>
  </si>
  <si>
    <t>Minutos a celular (modalidad “El que llama paga”) incluidos</t>
  </si>
  <si>
    <t>Cantidad de servicios digitales incluidos</t>
  </si>
  <si>
    <t>Nombre de los servicios digitales incluidos</t>
  </si>
  <si>
    <t>¿Cuenta con promociones que incrementen su velocidad a partir del pago de la misma renta mensual? (Si/No)</t>
  </si>
  <si>
    <t>Duración del periodo de tiempo (en meses) en que ofrece la promoción de incremento de velocidad</t>
  </si>
  <si>
    <t>Velocidad de bajada ofertada (Mbps) con la promoción de aumento de velocidad</t>
  </si>
  <si>
    <t>Velocidad de subida ofertada (Mbps) con la promoción de aumento de velocidad</t>
  </si>
  <si>
    <t>Incluye algún o algunos servicios STM
Especifique el servicio, plan o paquete</t>
  </si>
  <si>
    <t>Términos y condiciones del servicio**</t>
  </si>
  <si>
    <t>Duración del periodo (meses) en que ofrece a los usuarios finales el STM sin costo</t>
  </si>
  <si>
    <t>¿Incluye Netflix?
(Dispositivos incluidos)</t>
  </si>
  <si>
    <t>Duración del periodo de tiempo (en meses) en que ofrece a los usuarios finales el servicio de Netflix sin costo</t>
  </si>
  <si>
    <t>¿Incluye Claro video?</t>
  </si>
  <si>
    <t>¿Incluye otro servicio OTT? (especifique)</t>
  </si>
  <si>
    <t>Duración del periodo de tiempo (en meses) en que ofrece a los usuarios finales el servicio de otro(s) sin costo</t>
  </si>
  <si>
    <t>Equipo terminal (Módem/ONT)***</t>
  </si>
  <si>
    <t>Instalación de acometida***</t>
  </si>
  <si>
    <t>Antivirus***</t>
  </si>
  <si>
    <t>A rodar en Infinitum***</t>
  </si>
  <si>
    <t>Claro música***</t>
  </si>
  <si>
    <t>WiFi Móvil en Infinitum***</t>
  </si>
  <si>
    <t>Infinitum Mail***</t>
  </si>
  <si>
    <t xml:space="preserve">Seguridad Internet </t>
  </si>
  <si>
    <t>Respaldo de Información</t>
  </si>
  <si>
    <t>Correo Negocio</t>
  </si>
  <si>
    <t>ADM Factura</t>
  </si>
  <si>
    <t>ADM Básico</t>
  </si>
  <si>
    <t>Página Web</t>
  </si>
  <si>
    <t>Sección Amarilla</t>
  </si>
  <si>
    <t>Claro Drive</t>
  </si>
  <si>
    <t>Otros
Incluya las columnas que sean necesarias</t>
  </si>
  <si>
    <t>Cargo adicional por llamada a Llamada local</t>
  </si>
  <si>
    <t>Cargo adicional por minuto a celular</t>
  </si>
  <si>
    <t>Cargo adicional por Larga Distancia Internacional (Estados Unidos y Canadá).</t>
  </si>
  <si>
    <t>Otros cargos adicionales. Introduzca las columnas que sean necesarias</t>
  </si>
  <si>
    <t>¿Cuenta con tarifa preferencial por la contratación de algún STM que ajuste el monto de la renta mensual? (Si/No)</t>
  </si>
  <si>
    <t>Indique plan(es) o paquete(s) STM</t>
  </si>
  <si>
    <t>Terminos y condiciones</t>
  </si>
  <si>
    <t>¿Aplica Netflix?
(señale el plan que incluye)</t>
  </si>
  <si>
    <t>¿Aplica Prime Video? 
(señale 1 si incluye y 0 si no lo incluye)</t>
  </si>
  <si>
    <t>¿Aplica max? 
(señale 1 si incluye y 0 si no lo incluye)</t>
  </si>
  <si>
    <t>¿Aplica Disney +? 
(señale 1 si incluye y 0 si no lo incluye)</t>
  </si>
  <si>
    <t>¿Aplica Star +? 
(señale 1 si incluye y 0 si no lo incluye)</t>
  </si>
  <si>
    <t>¿Aplica F1 TV Pro?
(señale 1 si incluye y 0 si no lo incluye)</t>
  </si>
  <si>
    <t>¿Aplica otra OTT? (Especifique el(los) nombre(s)del(os) OTT(s))</t>
  </si>
  <si>
    <t>¿Cuenta con la promoción para paquetes superiores? (Si/No)</t>
  </si>
  <si>
    <t>Duración del periodo de tiempo (en meses) en que ofrece la promoción de paquetes superiores</t>
  </si>
  <si>
    <t>Términos y condiciones de la promoción para paquetes superiores</t>
  </si>
  <si>
    <t>¿Cuenta con otras promociones en el paquete? (Si/No)</t>
  </si>
  <si>
    <t>Nombre de la promoción que ajuste el monto de la renta mensual</t>
  </si>
  <si>
    <t xml:space="preserve">Duración del periodo de tiempo (en meses) en que ofrece la promoción </t>
  </si>
  <si>
    <t>Términos y condiciones de la promoción</t>
  </si>
  <si>
    <t>15 Mbps</t>
  </si>
  <si>
    <t>.640 Mbps</t>
  </si>
  <si>
    <t>Especifique paquete de Netflix</t>
  </si>
  <si>
    <t>Sí, comodato</t>
  </si>
  <si>
    <t>Ilimitadas</t>
  </si>
  <si>
    <t>Sin costo
Protege hasta 3 equipos de cómputo (PC o MAC), contra ataques de software malicioso, con actualizaciones automáticas mientras se tenga el servicio Infinitum. Consulta Términos y Condiciones en: 
https://downloads.telmex.com/pdf/infoRelevante_SeguridadInternet_McAfee.pdf?_ga=1.244521408.493520490.1453165444</t>
  </si>
  <si>
    <t>Válido únicamente en CDMX, préstamos de hasta 4 bicicletas para el paseo dominical en Reforma</t>
  </si>
  <si>
    <t>Sin costo.
• Tiempo de navegación ilimitado para clientes infinitum.
• 120 minutos sin costo, para Clientes No Infinitum que naveguen en Restaurantes/Cafés Sanborns y Starbucks, Sitios Públicos CDMX, Universidades/Escuelas UNAM y Sitios Públicos SEDENA por periodos de 24 horas</t>
  </si>
  <si>
    <t>Sin costo
Las cuentas de CORREO ELECTRÓNICO que le correspondan de
conformidad a la modalidad del SERVICIO contratado y que el número de cuentas a las que tiene derecho estará publicado en la
página de Internet: www.telmex.com y las mismas podrán ser activadas y configuradas por el CONSUMIDOR con cualquiera de
los dominios y plataforma que se encuentren vigentes al momento de la activación.</t>
  </si>
  <si>
    <t>Espacio para guardar, compartir, respaldar y descargar archivos en la Nube www.telmex.com/terminoshogar/Claro Drive</t>
  </si>
  <si>
    <t>Ilimitados</t>
  </si>
  <si>
    <t>Llamada en espera, Sígueme, Tres a la vez, Buzón Premium e Identificador de llamadas</t>
  </si>
  <si>
    <t>20 Mbps</t>
  </si>
  <si>
    <t xml:space="preserve">5 Mbps </t>
  </si>
  <si>
    <t>Si</t>
  </si>
  <si>
    <t>Sí</t>
  </si>
  <si>
    <t>Sin costo.
Claro video es un servicio proporcionado por un tercero. Telmex únicamente es medio de cobro de este servicio. Telmex pagará el servicio de Claro video durante 12 meses para los clientes infinitum con Paquete 389, 435, 499 599, 699, 999, 1499 o Infinitum Puro. También, durante 12 meses el servicio será sin costo para los clientes que tengan los paquetes descritos. Para Paquete 333, 289, 249 y Línea Básica, al contratar Claro video el primer mes no tiene costo. No incluye Pago por Evento. Consulta Términos y Condiciones en www.clarovideo.com</t>
  </si>
  <si>
    <t>12 meses</t>
  </si>
  <si>
    <t>Promoción Portabilidad</t>
  </si>
  <si>
    <t>3 meses</t>
  </si>
  <si>
    <t>Promoción para clientes residenciales y comerciales, que consiste en otorgar una bonificación de 3 meses de renta mensual del servicio contratado en un periodo de 12 meses (aplica en el mes cuarto, octavo y doceavo). Aplica a los clientes que eligen a Telmex como su proveedor de telefonía fija realizando una portabilidad con el proceso vigente.</t>
  </si>
  <si>
    <t>30 Mbps</t>
  </si>
  <si>
    <t>Por promoción los primeros tres meses posteriores a la contratación, el cliente pagará $389 al mes y disfrutará de los beneficios a partir del primer mes.</t>
  </si>
  <si>
    <t>Promoción Portabilidad 435</t>
  </si>
  <si>
    <t>1 mes</t>
  </si>
  <si>
    <t>Es una promoción para clientes residenciales que contraten el Paquete 435, que consiste en otorgar una bonificación de 1 mes de renta mensual (aplica en el mes primero). Aplica a los clientes que eligen a Telmex como su proveedor de telefonía fija realizando una portabilidad con el proceso vigente.</t>
  </si>
  <si>
    <t>40 Mbps</t>
  </si>
  <si>
    <t>Por promoción los primeros tres meses posteriores a la contratación, el cliente pagará $435 al mes y disfrutará de los beneficios a partir del primer mes.</t>
  </si>
  <si>
    <t>150 Mbps</t>
  </si>
  <si>
    <t>Por promoción los primeros tres meses posteriores a la contratación, el cliente pagará $499 al mes y disfrutará de los beneficios a partir del primer mes.</t>
  </si>
  <si>
    <t>200 Mbps</t>
  </si>
  <si>
    <t>50 Mbps</t>
  </si>
  <si>
    <t>500 Mbps</t>
  </si>
  <si>
    <t>1000 Mbps</t>
  </si>
  <si>
    <t>5 Mbps</t>
  </si>
  <si>
    <t>60 Mbps</t>
  </si>
  <si>
    <t>100 Mbps</t>
  </si>
  <si>
    <t>10 Mbps</t>
  </si>
  <si>
    <t>Incluido. Préstamo de hasta 4 bicicletas.  El Cliente deberá ser persona física , registrarse y aceptar  términos en línea en la página www.telmex.com/arodareninfinitum entrando en la sección denominada Mi Telmex</t>
  </si>
  <si>
    <t>Conexión ilimitada en más de 9,500 sitios en todo México. En cualquier sitio infinitum móvil conéctate a la red "infinitum movil". Abrirá la landing de bienvenida en donde encontrará los TyC  https://downloads.telmex.com/pdf/infoRelevante_WiFiMovil.pdf</t>
  </si>
  <si>
    <t>Protege 1 computadora contra todo tipo de amenazas: virus, troyanos, hackers y fraudes en internet. www.telmex.com/terminosnegocio/Servicios Promoción Cloud</t>
  </si>
  <si>
    <t>Genera una copia de seguridad de los archivos del Negocio y recupéralos desde la nube en caso de robo o falla.
 www.telmex.com/terminosnegocio/Respaldo de Informacion</t>
  </si>
  <si>
    <t>Cuenta de correo con dominio personalizado por el cliente para promover el nombre del negocio. www.telmex.com/terminosnegocio/Correo Negocio</t>
  </si>
  <si>
    <t>ADM Factura, emite electrónicas ilimitadas, comprobante de recepción de pago desde una aplicación y en cualquier dispositivo. www.telmex.com/terminosnegocio/Aspel</t>
  </si>
  <si>
    <t>Emite facturas ilimitadas, notas de crédito y comprobantes de pago  desde cualquier lugar y dispositivo.​​​​​​​​​​​​​​  Incluye ADM Tienda para el control de punto de venta. www.telmex.com/terminosnegocio/Aspel</t>
  </si>
  <si>
    <t>Anuncio digital en la página de Sección Amarilla con el nombre y datos de ubicación del Negocio. www.telmex.com/terminosnegocio/Sección Amarilla</t>
  </si>
  <si>
    <t>Página Web con Dominio y plantillas para diseñar, promocionar y publicar el Negocio en internet. www.telmex.com/terminosnegocio/Página Web</t>
  </si>
  <si>
    <t>ADM Básico, Emite facturas ilimitadas, timbres ilimitados, catalogo de clientes y productos, comprobantes fiscales, comprobantes de recepción de pago, módulo de cotizaciones y ADM tienda.</t>
  </si>
  <si>
    <t>750 Mbps</t>
  </si>
  <si>
    <t>0.768 Mbps</t>
  </si>
  <si>
    <t xml:space="preserve">** Especificar si a través de la renta mensual de dichos servicios, se ofrece a los usuarios finales el servicio sin costo por tiempo ilimitado, un periodo de tiempo o no, describiendo, en su caso, tarifa, términos y condiciones del servicio. </t>
  </si>
  <si>
    <t>*** Especificar si se encuentra incluida en la renta mensual del servicio o no, describiendo, en su caso, tarifa, términos y condiciones del servicio</t>
  </si>
  <si>
    <t>Por favor, inserte filas adicionales para dar cuenta de todas las posibilidades</t>
  </si>
  <si>
    <t>También se deberá especificar cuál es el plazo en que dicho servicio se ofrece sin costo a los usuarios finales</t>
  </si>
  <si>
    <t>Promociones adicionales que modifiquen la renta mensual (por ejemplo, domiciliación de pago).</t>
  </si>
  <si>
    <t>EXTRACCIONES IFT</t>
  </si>
  <si>
    <t>Seguridad Internet ***</t>
  </si>
  <si>
    <t>Respaldo de Información***</t>
  </si>
  <si>
    <t>Correo Negocio***</t>
  </si>
  <si>
    <t>ADM Factura***</t>
  </si>
  <si>
    <t>ADM Básico***</t>
  </si>
  <si>
    <t>Página Web***</t>
  </si>
  <si>
    <t>Sección Amarilla***</t>
  </si>
  <si>
    <t>80 Mbps</t>
  </si>
  <si>
    <t>300 Mbps</t>
  </si>
  <si>
    <t>Nota: Dicha información deberá corresponder al 30 de junio de 2024.</t>
  </si>
  <si>
    <t>Número de suscriptores y líneas activas totales a través de las cuales se proporcionan  planes y paquetes</t>
  </si>
  <si>
    <t>a. Número de suscriptores activos totales de planes y paquetes</t>
  </si>
  <si>
    <t>Reportar los datos relativos a planes y paquetes que los usuarios pueden contratar con Telmex y Telnor, mediante una línea nueva o existente, sin que sea necesaria la contratación previa de un plan o paquete (por ejemplo, “Paquete 333”, “Infinitum Negocio 549”, etc.)</t>
  </si>
  <si>
    <t>Dicha información deberá corresponder al 31 diciembre de 2023 y al 30 junio de 2024.</t>
  </si>
  <si>
    <t>A. Suscriptores que tienen contratado el plan o paquete y que no cuentan con una tarifa preferencial en su renta mensual</t>
  </si>
  <si>
    <t xml:space="preserve">B. Suscriptores que tiene contratado al menos un STM que cuentan con una tarifa preferencial en su renta mensual. </t>
  </si>
  <si>
    <t xml:space="preserve">C. Suscriptores que tiene contratado al menos un servicio OTT (Netflix, Amazon Prime, max, Disney +, Star + u otros OTT) mediante una tarifa preferencial, o bien, que cuentan con una tarifa preferencial en su renta mensual. </t>
  </si>
  <si>
    <t>D. Suscriptores que tienen contratado el plan o paquete y que cuentan con una tarifa preferencial en su renta mensual (por ejemplo, domiciliación de pago).</t>
  </si>
  <si>
    <t>E. Total de Suscriptores 2023 (A+B+C+D=E)</t>
  </si>
  <si>
    <t>E. Total de Suscriptores 2024 (A+B+C+D=E)</t>
  </si>
  <si>
    <t>Velocidad Simétrica Telmex Negocio Ilimitado 3</t>
  </si>
  <si>
    <t>Especifique Modalidad</t>
  </si>
  <si>
    <t>Especifique Tipo de Servicio</t>
  </si>
  <si>
    <t xml:space="preserve">Infinitum Negocio </t>
  </si>
  <si>
    <t>b. Número suscriptores activos totales por otros servicios</t>
  </si>
  <si>
    <r>
      <rPr>
        <b/>
        <i/>
        <sz val="9"/>
        <rFont val="Arial"/>
        <family val="2"/>
      </rPr>
      <t>1)</t>
    </r>
    <r>
      <rPr>
        <i/>
        <sz val="9"/>
        <rFont val="Arial"/>
        <family val="2"/>
      </rPr>
      <t xml:space="preserve"> planes y paquetes relativos a servicios que para su aplicación es requisito contar con otro plan o paquete previamente contratado (por ejemplo “Minutos Flex Negocio 200” que permite complementar una “Línea Comercial”  con cierto número de llamadas locales) </t>
    </r>
  </si>
  <si>
    <t>o 2) servicios que son de diferente naturaleza.Nota: Dicha información deberá corresponder al 31 de diciembre de 2023 y al 30 junio de 2024.</t>
  </si>
  <si>
    <t>c. Número de suscriptores activos totales, desagregados por medio de transmisión</t>
  </si>
  <si>
    <r>
      <t xml:space="preserve">Reportar los datos relativos a servicios aludidos en </t>
    </r>
    <r>
      <rPr>
        <b/>
        <i/>
        <sz val="9"/>
        <rFont val="Arial"/>
        <family val="2"/>
      </rPr>
      <t>a</t>
    </r>
    <r>
      <rPr>
        <i/>
        <sz val="9"/>
        <rFont val="Arial"/>
        <family val="2"/>
      </rPr>
      <t xml:space="preserve"> y </t>
    </r>
    <r>
      <rPr>
        <b/>
        <i/>
        <sz val="9"/>
        <rFont val="Arial"/>
        <family val="2"/>
      </rPr>
      <t>b</t>
    </r>
    <r>
      <rPr>
        <i/>
        <sz val="9"/>
        <rFont val="Arial"/>
        <family val="2"/>
      </rPr>
      <t>.</t>
    </r>
  </si>
  <si>
    <t>Dicha información deberá corresponder al 31 de diciembre de 2023 y al 30 de junio de 2024.</t>
  </si>
  <si>
    <t>Cobre.  Cobre desde el edificio del AEP hasta el usuario.</t>
  </si>
  <si>
    <t>FTTH. Fibra desde el edificio del AEP hasta el usuario o edificio.</t>
  </si>
  <si>
    <t xml:space="preserve">FTTC. Fibra hasta un punto intermedio entre el edificio del AEP y el usuario y despues cobre hasta el usuario. </t>
  </si>
  <si>
    <t>Pregunta 7</t>
  </si>
  <si>
    <t>Imputación del costo de los servicios en el precio que se ofrece al usuario final</t>
  </si>
  <si>
    <t>Instrucciones generales:</t>
  </si>
  <si>
    <t>Ingrese el costo, respecto al valor de la renta mensual, que representa proveer servicios Telefonía fija e Internet fijo en cada paquetes o servicios conforme a las siguientes características.</t>
  </si>
  <si>
    <t>c) Canasta de promociones por las cuales se modifique la renta mensual del plan o paquete.</t>
  </si>
  <si>
    <t>La renta mensual de cada plan o paquete deberá reconciliar con la asignación de costos propuesta</t>
  </si>
  <si>
    <t>Dicha información deberá correspondera al 31 de diciembre de 2023 y al 30 de junio de 2024.</t>
  </si>
  <si>
    <r>
      <t>Nota:</t>
    </r>
    <r>
      <rPr>
        <sz val="9"/>
        <rFont val="Arial"/>
        <family val="2"/>
      </rPr>
      <t xml:space="preserve"> Dicha información deberá corresponder al 31 de diciembre de 2023. </t>
    </r>
  </si>
  <si>
    <t>Cantidad mensual en pesos</t>
  </si>
  <si>
    <t>Costo de la línea</t>
  </si>
  <si>
    <t>Costos asociados a Servicios de voz</t>
  </si>
  <si>
    <t>Costo del Servicio de Banda Ancha</t>
  </si>
  <si>
    <t>Costo de Servicios Digitales</t>
  </si>
  <si>
    <t>Costo del STM</t>
  </si>
  <si>
    <t>Costo de OTT</t>
  </si>
  <si>
    <t>Otros costos</t>
  </si>
  <si>
    <t>Costo de Llamadas locales</t>
  </si>
  <si>
    <t>Costo de Minutos de Larga Distancia Internacional  (EEUU y Canadá)</t>
  </si>
  <si>
    <t>Costo de Minutos de Larga Distancia Mundial</t>
  </si>
  <si>
    <t>Costo Minutos a celular (en modalidad "El Que Llama Paga")</t>
  </si>
  <si>
    <t>Costo del Servicio de Banda Ancha con promoción de aumento de velocidad</t>
  </si>
  <si>
    <t>Servicios de Telecomunicaciones Móviles</t>
  </si>
  <si>
    <t>Claro Video</t>
  </si>
  <si>
    <t>Netflix</t>
  </si>
  <si>
    <t>Amazon Prime</t>
  </si>
  <si>
    <t>max</t>
  </si>
  <si>
    <t>Disney +</t>
  </si>
  <si>
    <t>Star +</t>
  </si>
  <si>
    <t>F1 TV Pro</t>
  </si>
  <si>
    <t>Otros OTT</t>
  </si>
  <si>
    <t>Otro costos (especifique)</t>
  </si>
  <si>
    <t>Justificación</t>
  </si>
  <si>
    <t>Costos asociado a Servicios de voz</t>
  </si>
  <si>
    <t>Renta mensual con tarifa preferencial (sin impuestos)</t>
  </si>
  <si>
    <t>Paquetes superiores</t>
  </si>
  <si>
    <t>Otras promociones</t>
  </si>
  <si>
    <t>Renta mensual con tarifa promocional por paquetes superiores (sin impuestos)</t>
  </si>
  <si>
    <t>Renta mensual con tarifa promocional (sin impuestos)</t>
  </si>
  <si>
    <r>
      <t>Nota:</t>
    </r>
    <r>
      <rPr>
        <sz val="9"/>
        <rFont val="Arial"/>
        <family val="2"/>
      </rPr>
      <t xml:space="preserve"> Dicha información deberá corresponder al 30 de junio de 2024. </t>
    </r>
  </si>
  <si>
    <t>IFT</t>
  </si>
  <si>
    <t>Costo línea</t>
  </si>
  <si>
    <t>Costo voz</t>
  </si>
  <si>
    <t>Costo BA</t>
  </si>
  <si>
    <t>Costo STM</t>
  </si>
  <si>
    <t>Tarifas SRLT, SRI y SRP</t>
  </si>
  <si>
    <t>Descuento por paquetes no señalados en el Anexo tarifario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</si>
</sst>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164" formatCode="#,##0_);[Red]\-#,##0_);0_);@_)"/>
    <numFmt numFmtId="165" formatCode="#,##0_);[Red]\-#,##0_);&quot;-&quot;?_);@_)"/>
    <numFmt numFmtId="166" formatCode="#,##0.00_);[Red]\-#,##0.00_);0.00_);@_)"/>
    <numFmt numFmtId="167" formatCode="#,##0.00_);[Red]\-#,##0.00_);&quot;-&quot;?_);@_)"/>
    <numFmt numFmtId="168" formatCode="#,##0%;[Red]\-#,##0%;0%;@_)"/>
    <numFmt numFmtId="169" formatCode="#,##0.00%;[Red]\-#,##0.00%;0.00%;@_)"/>
    <numFmt numFmtId="170" formatCode="* _(#,##0_);[Red]* \(#,##0\);* _(&quot;-&quot;?_);@_)"/>
    <numFmt numFmtId="171" formatCode="* _(#,##0.00_);[Red]* \(#,##0.00\);* _(&quot;-&quot;?_);@_)"/>
    <numFmt numFmtId="172" formatCode="#,##0%;[Red]\-#,##0%;&quot;-&quot;\%;@_)"/>
    <numFmt numFmtId="173" formatCode="#,##0.00%;[Red]\-#,##0.00%;&quot;-&quot;\%;@_)"/>
    <numFmt numFmtId="174" formatCode="[$EUR]\ * _(#,##0_);[Red][$EUR]\ * \(#,##0\);[$EUR]\ * _(&quot;-&quot;?_);@_)"/>
    <numFmt numFmtId="175" formatCode="[$EUR]\ * _(#,##0.00_);[Red][$EUR]\ * \(#,##0.00\);[$EUR]\ * _(&quot;-&quot;?_);@_)"/>
    <numFmt numFmtId="176" formatCode="\€\ * _(#,##0_);[Red]\€\ * \(#,##0\);\€\ * _(&quot;-&quot;?_);@_)"/>
    <numFmt numFmtId="177" formatCode="\€\ * _(#,##0.00_);[Red]\€\ * \(#,##0.00\);\€\ * _(&quot;-&quot;?_);@_)"/>
    <numFmt numFmtId="178" formatCode="[$USD]\ * _(#,##0_);[Red][$USD]\ * \(#,##0\);[$USD]\ * _(&quot;-&quot;?_);@_)"/>
    <numFmt numFmtId="179" formatCode="[$USD]\ * _(#,##0.00_);[Red][$USD]\ * \(#,##0.00\);[$USD]\ * _(&quot;-&quot;?_);@_)"/>
    <numFmt numFmtId="180" formatCode="\$\ * _(#,##0_);[Red]\$\ * \(#,##0\);\$\ * _(&quot;-&quot;?_);@_)"/>
    <numFmt numFmtId="181" formatCode="\$\ * _(#,##0.00_);[Red]\$\ * \(#,##0.00\);\$\ * _(&quot;-&quot;?_);@_)"/>
    <numFmt numFmtId="182" formatCode="[$GBP]\ * _(#,##0_);[Red][$GBP]\ * \(#,##0\);[$GBP]\ * _(&quot;-&quot;?_);@_)"/>
    <numFmt numFmtId="183" formatCode="[$GBP]\ * _(#,##0.00_);[Red][$GBP]\ * \(#,##0.00\);[$GBP]\ * _(&quot;-&quot;?_);@_)"/>
    <numFmt numFmtId="184" formatCode="\£\ * _(#,##0_);[Red]\£\ * \(#,##0\);\£\ * _(&quot;-&quot;?_);@_)"/>
    <numFmt numFmtId="185" formatCode="\£\ * _(#,##0.00_);[Red]\£\ * \(#,##0.00\);\£\ * _(&quot;-&quot;?_);@_)"/>
    <numFmt numFmtId="186" formatCode="dd\ mmm\ yy_)"/>
    <numFmt numFmtId="187" formatCode="mmm\ yy_)"/>
    <numFmt numFmtId="188" formatCode="yyyy_)"/>
    <numFmt numFmtId="189" formatCode="0.0%"/>
    <numFmt numFmtId="190" formatCode="&quot;$&quot;#,##0.00"/>
    <numFmt numFmtId="191" formatCode="#,##0.000"/>
    <numFmt numFmtId="192" formatCode="_-* #,##0_-;\-* #,##0_-;_-* &quot;-&quot;??_-;_-@_-"/>
    <numFmt numFmtId="193" formatCode="#,##0.0%;[Red]\-#,##0.0%;0.0%;@_)"/>
    <numFmt numFmtId="194" formatCode="0.000%"/>
    <numFmt numFmtId="195" formatCode="#,##0_);[Red]\-#,##0_);\-_);@_)"/>
    <numFmt numFmtId="196" formatCode="_(* #,##0_);_(* \(#,##0\);_(* &quot;-&quot;_);_(@_)"/>
    <numFmt numFmtId="197" formatCode="_(* #,##0.00_);_(* \(#,##0.00\);_(* &quot;-&quot;??_);_(@_)"/>
    <numFmt numFmtId="198" formatCode="#,##0.0000"/>
    <numFmt numFmtId="199" formatCode="0.0"/>
    <numFmt numFmtId="200" formatCode="0.000"/>
    <numFmt numFmtId="201" formatCode="_-* #,##0.0_-;\-* #,##0.0_-;_-* &quot;-&quot;??_-;_-@_-"/>
    <numFmt numFmtId="202" formatCode="#,##0.00_ ;\-#,##0.00\ "/>
    <numFmt numFmtId="203" formatCode="#,##0_ ;[Red]\-#,##0\ "/>
    <numFmt numFmtId="204" formatCode="0.0000%"/>
    <numFmt numFmtId="205" formatCode="_-* #,##0.0000_-;\-* #,##0.0000_-;_-* &quot;-&quot;??_-;_-@_-"/>
    <numFmt numFmtId="206" formatCode="_(* #,##0_);_(* \(#,##0\);_(* &quot;-&quot;??_);_(@_)"/>
  </numFmts>
  <fonts count="57">
    <font>
      <sz val="9"/>
      <name val="Arial"/>
      <family val="2"/>
    </font>
    <font>
      <sz val="11"/>
      <color rgb="FFFF0000"/>
      <name val="Aptos Narrow"/>
      <family val="2"/>
      <scheme val="minor"/>
    </font>
    <font>
      <i/>
      <sz val="11"/>
      <color rgb="FF7F7F7F"/>
      <name val="Aptos Narrow"/>
      <family val="2"/>
      <scheme val="minor"/>
    </font>
    <font>
      <sz val="11"/>
      <color theme="0"/>
      <name val="Aptos Narrow"/>
      <family val="2"/>
      <scheme val="minor"/>
    </font>
    <font>
      <sz val="9"/>
      <name val="Arial"/>
      <family val="2"/>
    </font>
    <font>
      <b/>
      <sz val="22"/>
      <name val="Arial"/>
      <family val="2"/>
    </font>
    <font>
      <b/>
      <sz val="14"/>
      <name val="Arial"/>
      <family val="2"/>
    </font>
    <font>
      <b/>
      <sz val="9"/>
      <name val="Arial"/>
      <family val="2"/>
    </font>
    <font>
      <b/>
      <sz val="12"/>
      <name val="Arial"/>
      <family val="2"/>
    </font>
    <font>
      <i/>
      <sz val="9"/>
      <name val="Arial"/>
      <family val="2"/>
    </font>
    <font>
      <sz val="8"/>
      <name val="Arial"/>
      <family val="2"/>
    </font>
    <font>
      <u/>
      <sz val="8"/>
      <name val="Arial"/>
      <family val="2"/>
    </font>
    <font>
      <u/>
      <sz val="9"/>
      <name val="Arial"/>
      <family val="2"/>
    </font>
    <font>
      <sz val="9"/>
      <color theme="1"/>
      <name val="Arial"/>
      <family val="2"/>
    </font>
    <font>
      <b/>
      <sz val="9"/>
      <color theme="0"/>
      <name val="Arial"/>
      <family val="2"/>
    </font>
    <font>
      <i/>
      <sz val="9"/>
      <color indexed="55"/>
      <name val="Arial"/>
      <family val="2"/>
    </font>
    <font>
      <i/>
      <sz val="9"/>
      <color rgb="FF00A44A"/>
      <name val="Arial"/>
      <family val="2"/>
    </font>
    <font>
      <b/>
      <sz val="9"/>
      <color rgb="FFFFFFFF"/>
      <name val="Arial"/>
      <family val="2"/>
    </font>
    <font>
      <b/>
      <sz val="18"/>
      <name val="Arial"/>
      <family val="2"/>
    </font>
    <font>
      <sz val="9"/>
      <color rgb="FFFFFFFF"/>
      <name val="Arial"/>
      <family val="2"/>
    </font>
    <font>
      <u/>
      <sz val="9"/>
      <color theme="10"/>
      <name val="Arial"/>
      <family val="2"/>
    </font>
    <font>
      <sz val="7"/>
      <color rgb="FF000000"/>
      <name val="Segoe UI"/>
      <family val="2"/>
    </font>
    <font>
      <vertAlign val="superscript"/>
      <sz val="9"/>
      <name val="Arial"/>
      <family val="2"/>
    </font>
    <font>
      <b/>
      <sz val="9"/>
      <color rgb="FF00B050"/>
      <name val="Arial"/>
      <family val="2"/>
    </font>
    <font>
      <sz val="9"/>
      <color rgb="FFFF0000"/>
      <name val="Arial"/>
      <family val="2"/>
    </font>
    <font>
      <i/>
      <sz val="9"/>
      <color theme="0" tint="-0.14999847407452621"/>
      <name val="Arial"/>
      <family val="2"/>
    </font>
    <font>
      <i/>
      <sz val="9"/>
      <color rgb="FF00B050"/>
      <name val="Arial"/>
      <family val="2"/>
    </font>
    <font>
      <b/>
      <sz val="9"/>
      <color rgb="FFFF0000"/>
      <name val="Arial"/>
      <family val="2"/>
    </font>
    <font>
      <sz val="9"/>
      <name val="Calibri"/>
      <family val="2"/>
    </font>
    <font>
      <sz val="7.65"/>
      <name val="Arial"/>
      <family val="2"/>
    </font>
    <font>
      <sz val="9"/>
      <color rgb="FF090141"/>
      <name val="Arial"/>
      <family val="2"/>
    </font>
    <font>
      <sz val="9"/>
      <color theme="0"/>
      <name val="Arial"/>
      <family val="2"/>
    </font>
    <font>
      <i/>
      <sz val="9"/>
      <name val="Calibri"/>
      <family val="2"/>
    </font>
    <font>
      <b/>
      <sz val="11"/>
      <color rgb="FF000000"/>
      <name val="Calibri"/>
      <family val="2"/>
    </font>
    <font>
      <sz val="11"/>
      <color rgb="FF000000"/>
      <name val="Calibri"/>
      <family val="2"/>
    </font>
    <font>
      <b/>
      <sz val="9"/>
      <color indexed="81"/>
      <name val="Tahoma"/>
      <family val="2"/>
    </font>
    <font>
      <sz val="9"/>
      <color rgb="FF7F7F7F"/>
      <name val="Aptos Narrow"/>
      <family val="2"/>
      <scheme val="minor"/>
    </font>
    <font>
      <b/>
      <sz val="9"/>
      <color rgb="FF7F7F7F"/>
      <name val="Aptos Narrow"/>
      <family val="2"/>
      <scheme val="minor"/>
    </font>
    <font>
      <b/>
      <sz val="9"/>
      <color rgb="FF000000"/>
      <name val="Tahoma"/>
      <family val="2"/>
    </font>
    <font>
      <sz val="9"/>
      <color rgb="FF000000"/>
      <name val="Tahoma"/>
      <family val="2"/>
    </font>
    <font>
      <sz val="12"/>
      <name val="Segoe UI"/>
      <family val="2"/>
    </font>
    <font>
      <sz val="9"/>
      <color indexed="81"/>
      <name val="Tahoma"/>
      <family val="2"/>
    </font>
    <font>
      <i/>
      <sz val="9"/>
      <color theme="1"/>
      <name val="Arial"/>
      <family val="2"/>
    </font>
    <font>
      <b/>
      <sz val="22"/>
      <color theme="0"/>
      <name val="Arial"/>
      <family val="2"/>
    </font>
    <font>
      <b/>
      <sz val="9"/>
      <color theme="1"/>
      <name val="Arial"/>
      <family val="2"/>
    </font>
    <font>
      <i/>
      <sz val="11"/>
      <color theme="0" tint="-0.249977111117893"/>
      <name val="Aptos Narrow"/>
      <family val="2"/>
      <scheme val="minor"/>
    </font>
    <font>
      <b/>
      <i/>
      <sz val="9"/>
      <name val="Arial"/>
      <family val="2"/>
    </font>
    <font>
      <sz val="10"/>
      <name val="Arial"/>
      <family val="2"/>
    </font>
    <font>
      <b/>
      <sz val="16"/>
      <color theme="0"/>
      <name val="Arial"/>
      <family val="2"/>
    </font>
    <font>
      <b/>
      <sz val="18"/>
      <color theme="0"/>
      <name val="Arial"/>
      <family val="2"/>
    </font>
    <font>
      <sz val="18"/>
      <color theme="0"/>
      <name val="Arial"/>
      <family val="2"/>
    </font>
    <font>
      <b/>
      <sz val="16"/>
      <name val="Arial"/>
      <family val="2"/>
    </font>
    <font>
      <b/>
      <sz val="12"/>
      <color theme="0"/>
      <name val="Arial"/>
      <family val="2"/>
    </font>
    <font>
      <b/>
      <sz val="11"/>
      <color theme="0"/>
      <name val="Arial"/>
      <family val="2"/>
    </font>
    <font>
      <b/>
      <sz val="11"/>
      <color rgb="FFFFFFFF"/>
      <name val="Arial"/>
      <family val="2"/>
    </font>
    <font>
      <b/>
      <sz val="16"/>
      <color rgb="FFFFFFFF"/>
      <name val="Arial"/>
      <family val="2"/>
    </font>
    <font>
      <i/>
      <sz val="9"/>
      <color theme="0"/>
      <name val="Calibri"/>
      <family val="2"/>
    </font>
  </fonts>
  <fills count="33">
    <fill>
      <patternFill patternType="none"/>
    </fill>
    <fill>
      <patternFill patternType="gray125"/>
    </fill>
    <fill>
      <patternFill patternType="solid">
        <fgColor theme="8"/>
      </patternFill>
    </fill>
    <fill>
      <patternFill patternType="solid">
        <fgColor rgb="FFFFFF00"/>
        <bgColor indexed="64"/>
      </patternFill>
    </fill>
    <fill>
      <patternFill patternType="solid">
        <fgColor rgb="FFFFFF99"/>
        <bgColor indexed="15"/>
      </patternFill>
    </fill>
    <fill>
      <patternFill patternType="solid">
        <fgColor rgb="FFD1FFA3"/>
        <bgColor indexed="64"/>
      </patternFill>
    </fill>
    <fill>
      <patternFill patternType="solid">
        <fgColor rgb="FFB4FF3C"/>
        <bgColor indexed="64"/>
      </patternFill>
    </fill>
    <fill>
      <patternFill patternType="solid">
        <fgColor rgb="FF004C52"/>
        <bgColor indexed="64"/>
      </patternFill>
    </fill>
    <fill>
      <patternFill patternType="solid">
        <fgColor theme="3" tint="0.89996032593768116"/>
        <bgColor indexed="64"/>
      </patternFill>
    </fill>
    <fill>
      <patternFill patternType="solid">
        <fgColor rgb="FF00B050"/>
        <bgColor rgb="FF221F72"/>
      </patternFill>
    </fill>
    <fill>
      <patternFill patternType="solid">
        <fgColor indexed="22"/>
        <bgColor indexed="64"/>
      </patternFill>
    </fill>
    <fill>
      <patternFill patternType="solid">
        <fgColor rgb="FF00B050"/>
        <bgColor indexed="64"/>
      </patternFill>
    </fill>
    <fill>
      <patternFill patternType="solid">
        <fgColor rgb="FFB0EEC5"/>
        <bgColor indexed="64"/>
      </patternFill>
    </fill>
    <fill>
      <patternFill patternType="solid">
        <fgColor indexed="41"/>
        <bgColor indexed="64"/>
      </patternFill>
    </fill>
    <fill>
      <patternFill patternType="solid">
        <fgColor theme="0"/>
        <bgColor indexed="64"/>
      </patternFill>
    </fill>
    <fill>
      <patternFill patternType="solid">
        <fgColor rgb="FFFF66CC"/>
        <bgColor indexed="64"/>
      </patternFill>
    </fill>
    <fill>
      <patternFill patternType="solid">
        <fgColor rgb="FF00FF00"/>
        <bgColor indexed="64"/>
      </patternFill>
    </fill>
    <fill>
      <patternFill patternType="solid">
        <fgColor theme="0"/>
        <bgColor indexed="15"/>
      </patternFill>
    </fill>
    <fill>
      <patternFill patternType="solid">
        <fgColor theme="0"/>
        <bgColor rgb="FF221F72"/>
      </patternFill>
    </fill>
    <fill>
      <patternFill patternType="solid">
        <fgColor rgb="FFD0FFD0"/>
        <bgColor indexed="64"/>
      </patternFill>
    </fill>
    <fill>
      <patternFill patternType="solid">
        <fgColor theme="0" tint="-0.249977111117893"/>
        <bgColor indexed="64"/>
      </patternFill>
    </fill>
    <fill>
      <patternFill patternType="solid">
        <fgColor theme="3" tint="0.89999084444715716"/>
        <bgColor indexed="64"/>
      </patternFill>
    </fill>
    <fill>
      <patternFill patternType="solid">
        <fgColor rgb="FFFFFF99"/>
        <bgColor indexed="64"/>
      </patternFill>
    </fill>
    <fill>
      <patternFill patternType="solid">
        <fgColor rgb="FF221F72"/>
        <bgColor indexed="64"/>
      </patternFill>
    </fill>
    <fill>
      <patternFill patternType="solid">
        <fgColor rgb="FF002060"/>
        <bgColor indexed="64"/>
      </patternFill>
    </fill>
    <fill>
      <patternFill patternType="solid">
        <fgColor rgb="FF221F72"/>
        <bgColor rgb="FF221F72"/>
      </patternFill>
    </fill>
    <fill>
      <patternFill patternType="solid">
        <fgColor rgb="FFFD6BE5"/>
        <bgColor indexed="64"/>
      </patternFill>
    </fill>
    <fill>
      <patternFill patternType="solid">
        <fgColor theme="4"/>
        <bgColor indexed="64"/>
      </patternFill>
    </fill>
    <fill>
      <patternFill patternType="solid">
        <fgColor rgb="FFC4D0E9"/>
        <bgColor indexed="64"/>
      </patternFill>
    </fill>
    <fill>
      <patternFill patternType="solid">
        <fgColor theme="3" tint="0.499984740745262"/>
        <bgColor rgb="FF221F72"/>
      </patternFill>
    </fill>
    <fill>
      <patternFill patternType="solid">
        <fgColor theme="5" tint="0.39997558519241921"/>
        <bgColor indexed="64"/>
      </patternFill>
    </fill>
    <fill>
      <patternFill patternType="solid">
        <fgColor theme="9" tint="-0.249977111117893"/>
        <bgColor indexed="64"/>
      </patternFill>
    </fill>
    <fill>
      <patternFill patternType="solid">
        <fgColor theme="0" tint="-0.34998626667073579"/>
        <bgColor indexed="64"/>
      </patternFill>
    </fill>
  </fills>
  <borders count="69">
    <border>
      <left/>
      <right/>
      <top/>
      <bottom/>
      <diagonal/>
    </border>
    <border>
      <left/>
      <right/>
      <top style="thin">
        <color indexed="8"/>
      </top>
      <bottom/>
      <diagonal/>
    </border>
    <border>
      <left/>
      <right/>
      <top style="thin">
        <color rgb="FFC4D0E9"/>
      </top>
      <bottom/>
      <diagonal/>
    </border>
    <border>
      <left/>
      <right/>
      <top/>
      <bottom style="thin">
        <color indexed="8"/>
      </bottom>
      <diagonal/>
    </border>
    <border>
      <left style="thin">
        <color rgb="FF0000FF"/>
      </left>
      <right style="thin">
        <color rgb="FF0000FF"/>
      </right>
      <top style="thin">
        <color rgb="FF0000FF"/>
      </top>
      <bottom style="thin">
        <color rgb="FF0000FF"/>
      </bottom>
      <diagonal/>
    </border>
    <border>
      <left style="thin">
        <color rgb="FFFF0000"/>
      </left>
      <right style="thin">
        <color rgb="FFFF0000"/>
      </right>
      <top style="thin">
        <color rgb="FFFF0000"/>
      </top>
      <bottom style="thin">
        <color rgb="FFFF0000"/>
      </bottom>
      <diagonal/>
    </border>
    <border>
      <left style="dotted">
        <color theme="1"/>
      </left>
      <right style="dotted">
        <color theme="1"/>
      </right>
      <top style="dotted">
        <color theme="1"/>
      </top>
      <bottom style="dotted">
        <color theme="1"/>
      </bottom>
      <diagonal/>
    </border>
    <border>
      <left/>
      <right/>
      <top style="medium">
        <color rgb="FF33CC33"/>
      </top>
      <bottom/>
      <diagonal/>
    </border>
    <border>
      <left/>
      <right/>
      <top style="medium">
        <color rgb="FF33CC33"/>
      </top>
      <bottom style="medium">
        <color rgb="FF33CC33"/>
      </bottom>
      <diagonal/>
    </border>
    <border>
      <left style="thin">
        <color rgb="FF00C000"/>
      </left>
      <right/>
      <top style="thin">
        <color rgb="FF00C000"/>
      </top>
      <bottom style="thin">
        <color rgb="FF00C000"/>
      </bottom>
      <diagonal/>
    </border>
    <border>
      <left style="thin">
        <color rgb="FF00C000"/>
      </left>
      <right style="thin">
        <color rgb="FF00C000"/>
      </right>
      <top style="thin">
        <color rgb="FF00C000"/>
      </top>
      <bottom style="thin">
        <color rgb="FF00C000"/>
      </bottom>
      <diagonal/>
    </border>
    <border>
      <left style="dotted">
        <color theme="1"/>
      </left>
      <right/>
      <top/>
      <bottom/>
      <diagonal/>
    </border>
    <border>
      <left style="thin">
        <color rgb="FF0000FF"/>
      </left>
      <right/>
      <top/>
      <bottom/>
      <diagonal/>
    </border>
    <border>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dotted">
        <color rgb="FF00C000"/>
      </bottom>
      <diagonal/>
    </border>
    <border>
      <left style="dotted">
        <color theme="1"/>
      </left>
      <right style="dotted">
        <color theme="1"/>
      </right>
      <top style="dotted">
        <color theme="1"/>
      </top>
      <bottom/>
      <diagonal/>
    </border>
    <border>
      <left style="thin">
        <color rgb="FF7030A0"/>
      </left>
      <right/>
      <top/>
      <bottom/>
      <diagonal/>
    </border>
    <border>
      <left/>
      <right style="thin">
        <color theme="0"/>
      </right>
      <top/>
      <bottom style="thin">
        <color rgb="FF0000FF"/>
      </bottom>
      <diagonal/>
    </border>
    <border>
      <left/>
      <right/>
      <top style="thin">
        <color rgb="FFFF0000"/>
      </top>
      <bottom/>
      <diagonal/>
    </border>
    <border>
      <left style="thin">
        <color indexed="57"/>
      </left>
      <right style="thin">
        <color indexed="57"/>
      </right>
      <top style="thin">
        <color indexed="57"/>
      </top>
      <bottom style="thin">
        <color indexed="57"/>
      </bottom>
      <diagonal/>
    </border>
    <border>
      <left style="thin">
        <color rgb="FFFF0000"/>
      </left>
      <right/>
      <top style="thin">
        <color rgb="FFFF0000"/>
      </top>
      <bottom style="thin">
        <color rgb="FFFF0000"/>
      </bottom>
      <diagonal/>
    </border>
    <border>
      <left/>
      <right style="thin">
        <color theme="0"/>
      </right>
      <top/>
      <bottom/>
      <diagonal/>
    </border>
    <border>
      <left style="dotted">
        <color rgb="FF00C000"/>
      </left>
      <right style="dotted">
        <color rgb="FF00C000"/>
      </right>
      <top style="dotted">
        <color rgb="FF00C000"/>
      </top>
      <bottom style="dotted">
        <color rgb="FF00C000"/>
      </bottom>
      <diagonal/>
    </border>
    <border>
      <left/>
      <right/>
      <top style="dotted">
        <color theme="1"/>
      </top>
      <bottom/>
      <diagonal/>
    </border>
    <border>
      <left/>
      <right/>
      <top style="dotted">
        <color theme="1"/>
      </top>
      <bottom style="dotted">
        <color theme="1"/>
      </bottom>
      <diagonal/>
    </border>
    <border>
      <left style="thin">
        <color theme="0"/>
      </left>
      <right style="thin">
        <color theme="0"/>
      </right>
      <top style="thin">
        <color theme="0"/>
      </top>
      <bottom style="thin">
        <color theme="0"/>
      </bottom>
      <diagonal/>
    </border>
    <border>
      <left/>
      <right/>
      <top style="dotted">
        <color rgb="FF00C000"/>
      </top>
      <bottom/>
      <diagonal/>
    </border>
    <border>
      <left/>
      <right style="thin">
        <color rgb="FF00B050"/>
      </right>
      <top/>
      <bottom/>
      <diagonal/>
    </border>
    <border>
      <left style="thin">
        <color rgb="FF00B050"/>
      </left>
      <right/>
      <top/>
      <bottom/>
      <diagonal/>
    </border>
    <border>
      <left style="thin">
        <color theme="0"/>
      </left>
      <right style="thin">
        <color theme="0"/>
      </right>
      <top/>
      <bottom style="thin">
        <color theme="0"/>
      </bottom>
      <diagonal/>
    </border>
    <border>
      <left style="thin">
        <color rgb="FF00CC00"/>
      </left>
      <right style="thin">
        <color rgb="FF00CC00"/>
      </right>
      <top style="thin">
        <color rgb="FF00CC00"/>
      </top>
      <bottom style="thin">
        <color rgb="FF00C000"/>
      </bottom>
      <diagonal/>
    </border>
    <border>
      <left style="thin">
        <color rgb="FF00CC00"/>
      </left>
      <right/>
      <top style="thin">
        <color rgb="FF00CC00"/>
      </top>
      <bottom style="thin">
        <color rgb="FF00CC00"/>
      </bottom>
      <diagonal/>
    </border>
    <border>
      <left/>
      <right/>
      <top style="thin">
        <color rgb="FF00CC00"/>
      </top>
      <bottom style="thin">
        <color rgb="FF00CC00"/>
      </bottom>
      <diagonal/>
    </border>
    <border>
      <left/>
      <right style="thin">
        <color rgb="FF00CC00"/>
      </right>
      <top style="thin">
        <color rgb="FF00CC00"/>
      </top>
      <bottom style="thin">
        <color rgb="FF00CC00"/>
      </bottom>
      <diagonal/>
    </border>
    <border>
      <left style="thin">
        <color rgb="FF00C000"/>
      </left>
      <right style="thin">
        <color rgb="FF00C000"/>
      </right>
      <top/>
      <bottom style="thin">
        <color rgb="FF00C000"/>
      </bottom>
      <diagonal/>
    </border>
    <border>
      <left style="thin">
        <color rgb="FF00C000"/>
      </left>
      <right/>
      <top/>
      <bottom style="thin">
        <color rgb="FF00C000"/>
      </bottom>
      <diagonal/>
    </border>
    <border>
      <left/>
      <right/>
      <top/>
      <bottom style="thin">
        <color rgb="FF0000FF"/>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rgb="FF00C000"/>
      </bottom>
      <diagonal/>
    </border>
    <border>
      <left/>
      <right style="thin">
        <color theme="0"/>
      </right>
      <top style="thin">
        <color theme="0"/>
      </top>
      <bottom style="thin">
        <color rgb="FF00C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top/>
      <bottom style="thin">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diagonal/>
    </border>
    <border>
      <left/>
      <right style="thin">
        <color auto="1"/>
      </right>
      <top style="thin">
        <color indexed="64"/>
      </top>
      <bottom/>
      <diagonal/>
    </border>
    <border>
      <left style="thin">
        <color theme="0"/>
      </left>
      <right style="thin">
        <color theme="0"/>
      </right>
      <top/>
      <bottom style="thin">
        <color rgb="FF00C000"/>
      </bottom>
      <diagonal/>
    </border>
    <border>
      <left/>
      <right style="thin">
        <color theme="0"/>
      </right>
      <top/>
      <bottom style="thin">
        <color rgb="FF00C000"/>
      </bottom>
      <diagonal/>
    </border>
    <border>
      <left style="thin">
        <color theme="0"/>
      </left>
      <right/>
      <top/>
      <bottom style="thin">
        <color rgb="FF00C000"/>
      </bottom>
      <diagonal/>
    </border>
    <border>
      <left style="thin">
        <color rgb="FF00CC00"/>
      </left>
      <right style="thin">
        <color rgb="FF00CC00"/>
      </right>
      <top/>
      <bottom style="thin">
        <color rgb="FF00CC00"/>
      </bottom>
      <diagonal/>
    </border>
    <border>
      <left style="thin">
        <color rgb="FF00CC00"/>
      </left>
      <right style="thin">
        <color rgb="FF00CC00"/>
      </right>
      <top style="thin">
        <color rgb="FF00CC00"/>
      </top>
      <bottom style="thin">
        <color rgb="FF00CC00"/>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top/>
      <bottom style="thin">
        <color rgb="FF00C00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rgb="FF00C000"/>
      </bottom>
      <diagonal/>
    </border>
    <border>
      <left style="thin">
        <color rgb="FF7030A0"/>
      </left>
      <right style="thin">
        <color rgb="FF7030A0"/>
      </right>
      <top style="thin">
        <color rgb="FF7030A0"/>
      </top>
      <bottom style="thin">
        <color rgb="FF7030A0"/>
      </bottom>
      <diagonal/>
    </border>
    <border>
      <left/>
      <right/>
      <top style="thin">
        <color theme="0"/>
      </top>
      <bottom style="thin">
        <color rgb="FF00C000"/>
      </bottom>
      <diagonal/>
    </border>
  </borders>
  <cellStyleXfs count="71">
    <xf numFmtId="0" fontId="0" fillId="0" borderId="0">
      <alignment vertical="center"/>
    </xf>
    <xf numFmtId="197" fontId="4" fillId="0" borderId="0" applyFont="0" applyFill="0" applyBorder="0" applyAlignment="0" applyProtection="0"/>
    <xf numFmtId="170" fontId="4" fillId="0" borderId="0" applyFont="0" applyFill="0" applyBorder="0" applyAlignment="0" applyProtection="0">
      <alignment vertical="center"/>
    </xf>
    <xf numFmtId="9" fontId="4" fillId="0" borderId="0" applyFont="0" applyFill="0" applyBorder="0" applyAlignment="0" applyProtection="0"/>
    <xf numFmtId="0" fontId="7" fillId="8" borderId="0" applyNumberFormat="0" applyAlignment="0" applyProtection="0">
      <alignment vertical="center"/>
    </xf>
    <xf numFmtId="0" fontId="4" fillId="0" borderId="0" applyNumberFormat="0" applyAlignment="0">
      <alignment vertical="center"/>
    </xf>
    <xf numFmtId="0" fontId="10" fillId="0" borderId="0" applyNumberFormat="0" applyFill="0" applyBorder="0" applyAlignment="0" applyProtection="0">
      <alignment vertical="center"/>
    </xf>
    <xf numFmtId="0" fontId="2" fillId="0" borderId="0" applyNumberFormat="0" applyFill="0" applyBorder="0" applyAlignment="0" applyProtection="0"/>
    <xf numFmtId="164" fontId="7" fillId="0" borderId="0" applyNumberFormat="0" applyFill="0" applyBorder="0" applyAlignment="0" applyProtection="0">
      <alignment vertical="center"/>
    </xf>
    <xf numFmtId="0" fontId="3" fillId="2" borderId="0" applyNumberFormat="0" applyBorder="0" applyAlignment="0" applyProtection="0"/>
    <xf numFmtId="0" fontId="5" fillId="0" borderId="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lignment horizontal="left" vertical="center" wrapText="1"/>
    </xf>
    <xf numFmtId="49" fontId="4" fillId="0" borderId="0" applyFont="0" applyFill="0" applyBorder="0" applyAlignment="0" applyProtection="0">
      <alignment horizontal="center" vertical="center"/>
    </xf>
    <xf numFmtId="0" fontId="8" fillId="0" borderId="0" applyNumberFormat="0" applyFill="0" applyBorder="0" applyAlignment="0" applyProtection="0">
      <alignment horizontal="left" vertical="center"/>
    </xf>
    <xf numFmtId="0" fontId="4" fillId="3" borderId="0" applyNumberFormat="0" applyFont="0" applyBorder="0" applyAlignment="0" applyProtection="0">
      <alignment vertical="center"/>
    </xf>
    <xf numFmtId="0" fontId="4" fillId="0" borderId="4" applyNumberFormat="0" applyAlignment="0">
      <alignment vertical="center"/>
      <protection locked="0"/>
    </xf>
    <xf numFmtId="0" fontId="4" fillId="0" borderId="0" applyNumberFormat="0" applyFont="0" applyBorder="0" applyAlignment="0" applyProtection="0">
      <alignment vertical="center"/>
    </xf>
    <xf numFmtId="0" fontId="4" fillId="0" borderId="0" applyNumberFormat="0" applyFill="0" applyBorder="0">
      <alignment horizontal="left" vertical="center" wrapText="1" indent="1"/>
    </xf>
    <xf numFmtId="165" fontId="4" fillId="0" borderId="0" applyFont="0" applyFill="0" applyBorder="0" applyAlignment="0" applyProtection="0">
      <alignment vertical="center"/>
    </xf>
    <xf numFmtId="0" fontId="4" fillId="0" borderId="5" applyNumberFormat="0" applyAlignment="0">
      <alignment vertical="center"/>
      <protection locked="0"/>
    </xf>
    <xf numFmtId="164" fontId="13" fillId="4" borderId="6" applyNumberFormat="0" applyAlignment="0">
      <alignment vertical="center"/>
      <protection locked="0"/>
    </xf>
    <xf numFmtId="0" fontId="4" fillId="0" borderId="6" applyNumberFormat="0" applyFill="0" applyAlignment="0" applyProtection="0">
      <alignment vertical="center"/>
      <protection locked="0"/>
    </xf>
    <xf numFmtId="0" fontId="4" fillId="5" borderId="0" applyNumberFormat="0" applyAlignment="0">
      <alignment vertical="center"/>
    </xf>
    <xf numFmtId="0" fontId="4" fillId="6" borderId="0" applyNumberFormat="0" applyAlignment="0">
      <alignment vertical="center"/>
    </xf>
    <xf numFmtId="0" fontId="14" fillId="7" borderId="0" applyNumberFormat="0" applyAlignment="0">
      <alignment vertical="center"/>
    </xf>
    <xf numFmtId="166" fontId="15" fillId="0" borderId="0" applyNumberFormat="0" applyAlignment="0">
      <alignment vertical="center"/>
    </xf>
    <xf numFmtId="0" fontId="16" fillId="0" borderId="0" applyNumberFormat="0" applyAlignment="0">
      <alignment vertical="center"/>
    </xf>
    <xf numFmtId="0" fontId="17" fillId="9" borderId="0" applyNumberFormat="0">
      <alignment horizontal="center" vertical="top" wrapText="1"/>
    </xf>
    <xf numFmtId="167" fontId="4" fillId="0" borderId="0" applyFont="0" applyFill="0" applyBorder="0" applyAlignment="0" applyProtection="0">
      <alignment vertical="center"/>
    </xf>
    <xf numFmtId="164" fontId="4" fillId="0" borderId="0" applyNumberFormat="0" applyFont="0" applyBorder="0" applyAlignment="0" applyProtection="0">
      <alignment vertical="center"/>
    </xf>
    <xf numFmtId="171" fontId="4" fillId="0" borderId="0" applyFont="0" applyFill="0" applyBorder="0" applyAlignment="0" applyProtection="0">
      <alignment vertical="center"/>
    </xf>
    <xf numFmtId="0" fontId="4" fillId="10" borderId="0" applyNumberFormat="0" applyFont="0" applyBorder="0" applyAlignment="0" applyProtection="0">
      <alignment vertical="center"/>
    </xf>
    <xf numFmtId="172" fontId="4" fillId="0" borderId="0" applyFont="0" applyFill="0" applyBorder="0" applyAlignment="0" applyProtection="0">
      <alignment horizontal="right" vertical="center"/>
    </xf>
    <xf numFmtId="173" fontId="4" fillId="0" borderId="0" applyFont="0" applyFill="0" applyBorder="0" applyAlignment="0" applyProtection="0">
      <alignment vertical="center"/>
    </xf>
    <xf numFmtId="164" fontId="4" fillId="0" borderId="7" applyNumberFormat="0" applyFont="0" applyFill="0" applyAlignment="0" applyProtection="0">
      <alignment vertical="center"/>
    </xf>
    <xf numFmtId="174" fontId="4" fillId="0" borderId="0" applyFont="0" applyFill="0" applyBorder="0" applyAlignment="0" applyProtection="0">
      <alignment vertical="center"/>
    </xf>
    <xf numFmtId="175" fontId="4" fillId="0" borderId="0" applyFont="0" applyFill="0" applyBorder="0" applyAlignment="0" applyProtection="0">
      <alignment vertical="center"/>
    </xf>
    <xf numFmtId="176" fontId="4" fillId="0" borderId="0" applyFont="0" applyFill="0" applyBorder="0" applyAlignment="0" applyProtection="0">
      <alignment vertical="center"/>
    </xf>
    <xf numFmtId="177" fontId="4" fillId="0" borderId="0" applyFont="0" applyFill="0" applyBorder="0" applyAlignment="0" applyProtection="0">
      <alignment vertical="center"/>
    </xf>
    <xf numFmtId="178" fontId="4" fillId="0" borderId="0" applyFont="0" applyFill="0" applyBorder="0" applyAlignment="0" applyProtection="0">
      <alignment vertical="center"/>
    </xf>
    <xf numFmtId="179" fontId="4" fillId="0" borderId="0" applyFont="0" applyFill="0" applyBorder="0" applyAlignment="0" applyProtection="0">
      <alignment vertical="center"/>
    </xf>
    <xf numFmtId="180" fontId="4" fillId="0" borderId="0" applyFont="0" applyFill="0" applyBorder="0" applyAlignment="0" applyProtection="0">
      <alignment vertical="center"/>
    </xf>
    <xf numFmtId="181" fontId="4" fillId="0" borderId="0" applyFont="0" applyFill="0" applyBorder="0" applyAlignment="0" applyProtection="0">
      <alignment vertical="center"/>
    </xf>
    <xf numFmtId="182" fontId="4" fillId="0" borderId="0" applyFont="0" applyFill="0" applyBorder="0" applyAlignment="0" applyProtection="0">
      <alignment vertical="center"/>
    </xf>
    <xf numFmtId="183" fontId="4" fillId="0" borderId="0" applyFont="0" applyFill="0" applyBorder="0" applyAlignment="0" applyProtection="0">
      <alignment vertical="center"/>
    </xf>
    <xf numFmtId="184" fontId="4" fillId="0" borderId="0" applyFont="0" applyFill="0" applyBorder="0" applyAlignment="0" applyProtection="0">
      <alignment vertical="center"/>
    </xf>
    <xf numFmtId="185" fontId="4" fillId="0" borderId="0" applyFont="0" applyFill="0" applyBorder="0" applyAlignment="0" applyProtection="0">
      <alignment vertical="center"/>
    </xf>
    <xf numFmtId="186" fontId="4" fillId="0" borderId="0" applyFont="0" applyFill="0" applyBorder="0" applyAlignment="0" applyProtection="0">
      <alignment vertical="center"/>
    </xf>
    <xf numFmtId="187" fontId="4" fillId="0" borderId="0" applyFont="0" applyFill="0" applyBorder="0" applyAlignment="0" applyProtection="0">
      <alignment vertical="center"/>
    </xf>
    <xf numFmtId="188" fontId="4" fillId="0" borderId="0" applyFont="0" applyFill="0" applyBorder="0" applyAlignment="0" applyProtection="0">
      <alignment vertical="center"/>
    </xf>
    <xf numFmtId="0" fontId="18" fillId="0" borderId="0" applyFill="0" applyBorder="0" applyAlignment="0" applyProtection="0">
      <alignment vertical="center"/>
    </xf>
    <xf numFmtId="0" fontId="7" fillId="0" borderId="0" applyNumberFormat="0" applyFill="0" applyBorder="0" applyAlignment="0" applyProtection="0">
      <alignment vertical="center"/>
    </xf>
    <xf numFmtId="0" fontId="17" fillId="11" borderId="0" applyNumberFormat="0">
      <alignment horizontal="left" vertical="top" wrapText="1"/>
    </xf>
    <xf numFmtId="0" fontId="17" fillId="11" borderId="0" applyNumberFormat="0">
      <alignment horizontal="centerContinuous" vertical="top"/>
    </xf>
    <xf numFmtId="0" fontId="19" fillId="11" borderId="0" applyNumberFormat="0">
      <alignment horizontal="center" vertical="top" wrapText="1"/>
    </xf>
    <xf numFmtId="164" fontId="7" fillId="0" borderId="8" applyNumberFormat="0" applyFill="0" applyAlignment="0" applyProtection="0">
      <alignment vertical="center"/>
    </xf>
    <xf numFmtId="164" fontId="7" fillId="12" borderId="0" applyNumberFormat="0" applyAlignment="0" applyProtection="0">
      <alignment vertical="center"/>
    </xf>
    <xf numFmtId="0" fontId="5" fillId="13" borderId="0" applyNumberFormat="0">
      <alignment vertical="center"/>
    </xf>
    <xf numFmtId="0" fontId="4" fillId="0" borderId="10" applyNumberFormat="0" applyAlignment="0">
      <alignment vertical="center"/>
      <protection locked="0"/>
    </xf>
    <xf numFmtId="0" fontId="20" fillId="0" borderId="0" applyNumberFormat="0" applyFill="0" applyBorder="0" applyAlignment="0" applyProtection="0">
      <alignment vertical="center"/>
    </xf>
    <xf numFmtId="0" fontId="4" fillId="0" borderId="5" applyNumberFormat="0" applyAlignment="0">
      <alignment vertical="center"/>
      <protection locked="0"/>
    </xf>
    <xf numFmtId="0" fontId="4" fillId="16" borderId="0" applyNumberFormat="0" applyAlignment="0">
      <alignment vertical="center"/>
    </xf>
    <xf numFmtId="0" fontId="4" fillId="19" borderId="0" applyNumberFormat="0" applyAlignment="0">
      <alignment vertical="center"/>
    </xf>
    <xf numFmtId="0" fontId="4" fillId="0" borderId="21" applyNumberFormat="0" applyAlignment="0">
      <alignment vertical="center"/>
      <protection locked="0"/>
    </xf>
    <xf numFmtId="0" fontId="4" fillId="0" borderId="5" applyNumberFormat="0" applyAlignment="0">
      <alignment vertical="center"/>
      <protection locked="0"/>
    </xf>
    <xf numFmtId="0" fontId="4" fillId="10" borderId="0" applyNumberFormat="0" applyFont="0" applyBorder="0" applyAlignment="0" applyProtection="0">
      <alignment vertical="center"/>
    </xf>
    <xf numFmtId="0" fontId="17" fillId="23" borderId="0" applyNumberFormat="0">
      <alignment horizontal="centerContinuous" vertical="top"/>
    </xf>
    <xf numFmtId="0" fontId="17" fillId="25" borderId="0" applyNumberFormat="0">
      <alignment horizontal="center" vertical="top" wrapText="1"/>
    </xf>
    <xf numFmtId="0" fontId="4" fillId="0" borderId="4" applyNumberFormat="0" applyAlignment="0">
      <alignment vertical="center"/>
      <protection locked="0"/>
    </xf>
    <xf numFmtId="164" fontId="7" fillId="28" borderId="0" applyNumberFormat="0" applyAlignment="0" applyProtection="0">
      <alignment vertical="center"/>
    </xf>
  </cellStyleXfs>
  <cellXfs count="577">
    <xf numFmtId="0" fontId="0" fillId="0" borderId="0" xfId="0">
      <alignment vertical="center"/>
    </xf>
    <xf numFmtId="38" fontId="0" fillId="0" borderId="0" xfId="0" applyNumberFormat="1" applyAlignment="1">
      <alignment horizontal="center" vertical="center"/>
    </xf>
    <xf numFmtId="0" fontId="5" fillId="0" borderId="0" xfId="10" applyFill="1" applyBorder="1">
      <alignment vertical="center"/>
    </xf>
    <xf numFmtId="0" fontId="0" fillId="0" borderId="1" xfId="0" applyBorder="1">
      <alignment vertical="center"/>
    </xf>
    <xf numFmtId="0" fontId="6" fillId="0" borderId="0" xfId="11" applyFill="1" applyAlignment="1">
      <alignment horizontal="left"/>
    </xf>
    <xf numFmtId="0" fontId="7" fillId="0" borderId="0" xfId="12" applyAlignment="1">
      <alignment horizontal="left" vertical="center" wrapText="1" indent="1"/>
    </xf>
    <xf numFmtId="49" fontId="4" fillId="0" borderId="0" xfId="13" applyFont="1" applyAlignment="1">
      <alignment vertical="center"/>
    </xf>
    <xf numFmtId="49" fontId="0" fillId="0" borderId="0" xfId="13" applyFont="1" applyAlignment="1">
      <alignment vertical="center"/>
    </xf>
    <xf numFmtId="0" fontId="8" fillId="0" borderId="0" xfId="14" applyAlignment="1"/>
    <xf numFmtId="0" fontId="8" fillId="0" borderId="0" xfId="14" applyAlignment="1">
      <alignment vertical="center"/>
    </xf>
    <xf numFmtId="49" fontId="9" fillId="0" borderId="0" xfId="13" applyFont="1" applyAlignment="1">
      <alignment vertical="center"/>
    </xf>
    <xf numFmtId="0" fontId="0" fillId="0" borderId="2" xfId="0" applyBorder="1">
      <alignment vertical="center"/>
    </xf>
    <xf numFmtId="38" fontId="0" fillId="0" borderId="3" xfId="0" applyNumberFormat="1" applyBorder="1" applyAlignment="1">
      <alignment horizontal="center" vertical="center"/>
    </xf>
    <xf numFmtId="0" fontId="5" fillId="0" borderId="3" xfId="10" applyFill="1" applyBorder="1">
      <alignment vertical="center"/>
    </xf>
    <xf numFmtId="0" fontId="6" fillId="0" borderId="0" xfId="11" applyFill="1" applyAlignment="1"/>
    <xf numFmtId="0" fontId="8" fillId="0" borderId="0" xfId="14" applyAlignment="1">
      <alignment horizontal="center"/>
    </xf>
    <xf numFmtId="0" fontId="0" fillId="0" borderId="0" xfId="0" applyAlignment="1">
      <alignment horizontal="center" vertical="center"/>
    </xf>
    <xf numFmtId="0" fontId="10" fillId="0" borderId="0" xfId="6">
      <alignment vertical="center"/>
    </xf>
    <xf numFmtId="0" fontId="6" fillId="0" borderId="0" xfId="11">
      <alignment vertical="center"/>
    </xf>
    <xf numFmtId="0" fontId="7" fillId="3" borderId="0" xfId="15" applyFont="1">
      <alignment vertical="center"/>
    </xf>
    <xf numFmtId="0" fontId="0" fillId="3" borderId="0" xfId="15" applyFont="1">
      <alignment vertical="center"/>
    </xf>
    <xf numFmtId="0" fontId="7" fillId="0" borderId="0" xfId="12">
      <alignment horizontal="left" vertical="center" wrapText="1"/>
    </xf>
    <xf numFmtId="164" fontId="4" fillId="0" borderId="4" xfId="16" applyNumberFormat="1">
      <alignment vertical="center"/>
      <protection locked="0"/>
    </xf>
    <xf numFmtId="0" fontId="0" fillId="0" borderId="0" xfId="17" applyFont="1">
      <alignment vertical="center"/>
    </xf>
    <xf numFmtId="0" fontId="4" fillId="0" borderId="0" xfId="18">
      <alignment horizontal="left" vertical="center" wrapText="1" indent="1"/>
    </xf>
    <xf numFmtId="165" fontId="0" fillId="0" borderId="0" xfId="19" applyFont="1">
      <alignment vertical="center"/>
    </xf>
    <xf numFmtId="164" fontId="4" fillId="0" borderId="5" xfId="20" applyNumberFormat="1">
      <alignment vertical="center"/>
      <protection locked="0"/>
    </xf>
    <xf numFmtId="164" fontId="13" fillId="4" borderId="6" xfId="21">
      <alignment vertical="center"/>
      <protection locked="0"/>
    </xf>
    <xf numFmtId="164" fontId="4" fillId="0" borderId="6" xfId="22" applyNumberFormat="1">
      <alignment vertical="center"/>
      <protection locked="0"/>
    </xf>
    <xf numFmtId="164" fontId="4" fillId="5" borderId="0" xfId="23" applyNumberFormat="1">
      <alignment vertical="center"/>
    </xf>
    <xf numFmtId="0" fontId="4" fillId="6" borderId="0" xfId="24">
      <alignment vertical="center"/>
    </xf>
    <xf numFmtId="164" fontId="14" fillId="7" borderId="0" xfId="25" applyNumberFormat="1">
      <alignment vertical="center"/>
    </xf>
    <xf numFmtId="164" fontId="4" fillId="0" borderId="0" xfId="5" applyNumberFormat="1">
      <alignment vertical="center"/>
    </xf>
    <xf numFmtId="164" fontId="7" fillId="0" borderId="0" xfId="8">
      <alignment vertical="center"/>
    </xf>
    <xf numFmtId="166" fontId="15" fillId="0" borderId="0" xfId="26">
      <alignment vertical="center"/>
    </xf>
    <xf numFmtId="164" fontId="7" fillId="8" borderId="0" xfId="4" applyNumberFormat="1">
      <alignment vertical="center"/>
    </xf>
    <xf numFmtId="164" fontId="16" fillId="0" borderId="0" xfId="27" applyNumberFormat="1">
      <alignment vertical="center"/>
    </xf>
    <xf numFmtId="164" fontId="10" fillId="0" borderId="0" xfId="6" applyNumberFormat="1">
      <alignment vertical="center"/>
    </xf>
    <xf numFmtId="164" fontId="4" fillId="3" borderId="0" xfId="15" applyNumberFormat="1">
      <alignment vertical="center"/>
    </xf>
    <xf numFmtId="164" fontId="4" fillId="0" borderId="0" xfId="17" applyNumberFormat="1">
      <alignment vertical="center"/>
    </xf>
    <xf numFmtId="0" fontId="17" fillId="9" borderId="0" xfId="28">
      <alignment horizontal="center" vertical="top" wrapText="1"/>
    </xf>
    <xf numFmtId="167" fontId="0" fillId="0" borderId="0" xfId="29" applyFont="1">
      <alignment vertical="center"/>
    </xf>
    <xf numFmtId="168" fontId="0" fillId="0" borderId="0" xfId="30" applyNumberFormat="1" applyFont="1">
      <alignment vertical="center"/>
    </xf>
    <xf numFmtId="169" fontId="0" fillId="0" borderId="0" xfId="30" applyNumberFormat="1" applyFont="1">
      <alignment vertical="center"/>
    </xf>
    <xf numFmtId="170" fontId="0" fillId="0" borderId="0" xfId="2" applyFont="1">
      <alignment vertical="center"/>
    </xf>
    <xf numFmtId="171" fontId="0" fillId="0" borderId="0" xfId="31" applyFont="1">
      <alignment vertical="center"/>
    </xf>
    <xf numFmtId="164" fontId="0" fillId="10" borderId="0" xfId="32" applyNumberFormat="1" applyFont="1">
      <alignment vertical="center"/>
    </xf>
    <xf numFmtId="168" fontId="0" fillId="10" borderId="0" xfId="32" applyNumberFormat="1" applyFont="1">
      <alignment vertical="center"/>
    </xf>
    <xf numFmtId="172" fontId="0" fillId="0" borderId="0" xfId="33" applyFont="1" applyAlignment="1">
      <alignment vertical="center"/>
    </xf>
    <xf numFmtId="173" fontId="0" fillId="0" borderId="0" xfId="34" applyFont="1">
      <alignment vertical="center"/>
    </xf>
    <xf numFmtId="0" fontId="0" fillId="0" borderId="7" xfId="35" applyNumberFormat="1" applyFont="1">
      <alignment vertical="center"/>
    </xf>
    <xf numFmtId="174" fontId="0" fillId="0" borderId="0" xfId="36" applyFont="1">
      <alignment vertical="center"/>
    </xf>
    <xf numFmtId="175" fontId="0" fillId="0" borderId="0" xfId="37" applyFont="1">
      <alignment vertical="center"/>
    </xf>
    <xf numFmtId="176" fontId="0" fillId="0" borderId="0" xfId="38" applyFont="1">
      <alignment vertical="center"/>
    </xf>
    <xf numFmtId="177" fontId="0" fillId="0" borderId="0" xfId="39" applyFont="1">
      <alignment vertical="center"/>
    </xf>
    <xf numFmtId="178" fontId="0" fillId="0" borderId="0" xfId="40" applyFont="1">
      <alignment vertical="center"/>
    </xf>
    <xf numFmtId="179" fontId="0" fillId="0" borderId="0" xfId="41" applyFont="1">
      <alignment vertical="center"/>
    </xf>
    <xf numFmtId="180" fontId="0" fillId="0" borderId="0" xfId="42" applyFont="1">
      <alignment vertical="center"/>
    </xf>
    <xf numFmtId="181" fontId="0" fillId="0" borderId="0" xfId="43" applyFont="1">
      <alignment vertical="center"/>
    </xf>
    <xf numFmtId="182" fontId="0" fillId="0" borderId="0" xfId="44" applyFont="1">
      <alignment vertical="center"/>
    </xf>
    <xf numFmtId="183" fontId="0" fillId="0" borderId="0" xfId="45" applyFont="1">
      <alignment vertical="center"/>
    </xf>
    <xf numFmtId="184" fontId="0" fillId="0" borderId="0" xfId="46" applyFont="1">
      <alignment vertical="center"/>
    </xf>
    <xf numFmtId="185" fontId="0" fillId="0" borderId="0" xfId="47" applyFont="1">
      <alignment vertical="center"/>
    </xf>
    <xf numFmtId="186" fontId="0" fillId="0" borderId="0" xfId="48" applyFont="1">
      <alignment vertical="center"/>
    </xf>
    <xf numFmtId="187" fontId="0" fillId="0" borderId="0" xfId="49" applyFont="1">
      <alignment vertical="center"/>
    </xf>
    <xf numFmtId="188" fontId="0" fillId="0" borderId="0" xfId="50" applyFont="1">
      <alignment vertical="center"/>
    </xf>
    <xf numFmtId="0" fontId="5" fillId="0" borderId="0" xfId="10">
      <alignment vertical="center"/>
    </xf>
    <xf numFmtId="0" fontId="18" fillId="0" borderId="0" xfId="51">
      <alignment vertical="center"/>
    </xf>
    <xf numFmtId="0" fontId="7" fillId="0" borderId="0" xfId="52">
      <alignment vertical="center"/>
    </xf>
    <xf numFmtId="0" fontId="17" fillId="11" borderId="0" xfId="53">
      <alignment horizontal="left" vertical="top" wrapText="1"/>
    </xf>
    <xf numFmtId="0" fontId="17" fillId="11" borderId="0" xfId="54">
      <alignment horizontal="centerContinuous" vertical="top"/>
    </xf>
    <xf numFmtId="0" fontId="19" fillId="11" borderId="0" xfId="55">
      <alignment horizontal="center" vertical="top" wrapText="1"/>
    </xf>
    <xf numFmtId="0" fontId="0" fillId="0" borderId="0" xfId="30" applyNumberFormat="1" applyFont="1">
      <alignment vertical="center"/>
    </xf>
    <xf numFmtId="0" fontId="0" fillId="10" borderId="0" xfId="32" applyFont="1">
      <alignment vertical="center"/>
    </xf>
    <xf numFmtId="0" fontId="7" fillId="0" borderId="8" xfId="56" applyNumberFormat="1" applyAlignment="1">
      <alignment horizontal="left" vertical="center" wrapText="1" indent="1"/>
    </xf>
    <xf numFmtId="0" fontId="7" fillId="0" borderId="8" xfId="56" applyNumberFormat="1">
      <alignment vertical="center"/>
    </xf>
    <xf numFmtId="0" fontId="7" fillId="10" borderId="8" xfId="56" applyNumberFormat="1" applyFill="1">
      <alignment vertical="center"/>
    </xf>
    <xf numFmtId="0" fontId="7" fillId="12" borderId="0" xfId="57" applyNumberFormat="1" applyAlignment="1">
      <alignment horizontal="left" vertical="center" wrapText="1"/>
    </xf>
    <xf numFmtId="0" fontId="7" fillId="12" borderId="0" xfId="57" applyNumberFormat="1">
      <alignment vertical="center"/>
    </xf>
    <xf numFmtId="0" fontId="16" fillId="0" borderId="0" xfId="27">
      <alignment vertical="center"/>
    </xf>
    <xf numFmtId="164" fontId="4" fillId="0" borderId="9" xfId="20" applyNumberFormat="1" applyBorder="1">
      <alignment vertical="center"/>
      <protection locked="0"/>
    </xf>
    <xf numFmtId="164" fontId="7" fillId="12" borderId="0" xfId="57">
      <alignment vertical="center"/>
    </xf>
    <xf numFmtId="0" fontId="7" fillId="8" borderId="0" xfId="4" applyAlignment="1">
      <alignment horizontal="left" vertical="center" wrapText="1"/>
    </xf>
    <xf numFmtId="0" fontId="7" fillId="8" borderId="0" xfId="4">
      <alignment vertical="center"/>
    </xf>
    <xf numFmtId="0" fontId="5" fillId="0" borderId="0" xfId="58" applyFill="1">
      <alignment vertical="center"/>
    </xf>
    <xf numFmtId="0" fontId="5" fillId="0" borderId="0" xfId="58" applyFill="1" applyAlignment="1">
      <alignment horizontal="center" vertical="center"/>
    </xf>
    <xf numFmtId="0" fontId="4" fillId="0" borderId="0" xfId="0" applyFont="1">
      <alignment vertical="center"/>
    </xf>
    <xf numFmtId="0" fontId="4" fillId="0" borderId="5" xfId="20">
      <alignment vertical="center"/>
      <protection locked="0"/>
    </xf>
    <xf numFmtId="0" fontId="4" fillId="0" borderId="4" xfId="16" applyAlignment="1">
      <alignment horizontal="center" vertical="center"/>
      <protection locked="0"/>
    </xf>
    <xf numFmtId="0" fontId="4" fillId="0" borderId="10" xfId="59">
      <alignment vertical="center"/>
      <protection locked="0"/>
    </xf>
    <xf numFmtId="3" fontId="4" fillId="0" borderId="5" xfId="20" applyNumberFormat="1">
      <alignment vertical="center"/>
      <protection locked="0"/>
    </xf>
    <xf numFmtId="0" fontId="4" fillId="0" borderId="6" xfId="22">
      <alignment vertical="center"/>
      <protection locked="0"/>
    </xf>
    <xf numFmtId="0" fontId="4" fillId="0" borderId="6" xfId="22" applyAlignment="1">
      <alignment horizontal="center" vertical="center"/>
      <protection locked="0"/>
    </xf>
    <xf numFmtId="0" fontId="16" fillId="0" borderId="0" xfId="27" applyAlignment="1">
      <alignment horizontal="right" vertical="center"/>
    </xf>
    <xf numFmtId="0" fontId="7" fillId="10" borderId="0" xfId="32" applyFont="1">
      <alignment vertical="center"/>
    </xf>
    <xf numFmtId="0" fontId="4" fillId="0" borderId="4" xfId="16">
      <alignment vertical="center"/>
      <protection locked="0"/>
    </xf>
    <xf numFmtId="0" fontId="7" fillId="0" borderId="0" xfId="0" applyFont="1">
      <alignment vertical="center"/>
    </xf>
    <xf numFmtId="0" fontId="0" fillId="0" borderId="0" xfId="0" applyAlignment="1">
      <alignment horizontal="left" vertical="center" indent="1"/>
    </xf>
    <xf numFmtId="0" fontId="0" fillId="14" borderId="0" xfId="0" applyFill="1">
      <alignment vertical="center"/>
    </xf>
    <xf numFmtId="10" fontId="4" fillId="0" borderId="5" xfId="20" applyNumberFormat="1">
      <alignment vertical="center"/>
      <protection locked="0"/>
    </xf>
    <xf numFmtId="0" fontId="20" fillId="0" borderId="0" xfId="60">
      <alignment vertical="center"/>
    </xf>
    <xf numFmtId="10" fontId="4" fillId="14" borderId="5" xfId="20" applyNumberFormat="1" applyFill="1">
      <alignment vertical="center"/>
      <protection locked="0"/>
    </xf>
    <xf numFmtId="0" fontId="0" fillId="0" borderId="0" xfId="0" applyAlignment="1">
      <alignment horizontal="left" vertical="center" indent="3"/>
    </xf>
    <xf numFmtId="3" fontId="4" fillId="0" borderId="5" xfId="61" applyNumberFormat="1">
      <alignment vertical="center"/>
      <protection locked="0"/>
    </xf>
    <xf numFmtId="0" fontId="16" fillId="14" borderId="0" xfId="27" applyFill="1">
      <alignment vertical="center"/>
    </xf>
    <xf numFmtId="10" fontId="0" fillId="14" borderId="0" xfId="3" applyNumberFormat="1" applyFont="1" applyFill="1" applyAlignment="1">
      <alignment vertical="center"/>
    </xf>
    <xf numFmtId="3" fontId="0" fillId="14" borderId="0" xfId="0" applyNumberFormat="1" applyFill="1">
      <alignment vertical="center"/>
    </xf>
    <xf numFmtId="189" fontId="0" fillId="0" borderId="0" xfId="3" applyNumberFormat="1" applyFont="1" applyAlignment="1">
      <alignment vertical="center"/>
    </xf>
    <xf numFmtId="10" fontId="21" fillId="0" borderId="0" xfId="3" applyNumberFormat="1" applyFont="1" applyAlignment="1">
      <alignment vertical="center"/>
    </xf>
    <xf numFmtId="3" fontId="0" fillId="0" borderId="0" xfId="0" applyNumberFormat="1">
      <alignment vertical="center"/>
    </xf>
    <xf numFmtId="3" fontId="4" fillId="0" borderId="6" xfId="22" applyNumberFormat="1" applyProtection="1">
      <alignment vertical="center"/>
    </xf>
    <xf numFmtId="0" fontId="0" fillId="0" borderId="0" xfId="0" applyAlignment="1">
      <alignment horizontal="left" vertical="center" indent="2"/>
    </xf>
    <xf numFmtId="3" fontId="13" fillId="4" borderId="6" xfId="21" applyNumberFormat="1">
      <alignment vertical="center"/>
      <protection locked="0"/>
    </xf>
    <xf numFmtId="15" fontId="4" fillId="0" borderId="0" xfId="52" applyNumberFormat="1" applyFont="1" applyAlignment="1">
      <alignment horizontal="left" vertical="center" indent="1"/>
    </xf>
    <xf numFmtId="189" fontId="4" fillId="0" borderId="5" xfId="20" applyNumberFormat="1">
      <alignment vertical="center"/>
      <protection locked="0"/>
    </xf>
    <xf numFmtId="17" fontId="0" fillId="0" borderId="0" xfId="0" applyNumberFormat="1">
      <alignment vertical="center"/>
    </xf>
    <xf numFmtId="15" fontId="0" fillId="0" borderId="0" xfId="0" applyNumberFormat="1">
      <alignment vertical="center"/>
    </xf>
    <xf numFmtId="190" fontId="16" fillId="0" borderId="0" xfId="3" applyNumberFormat="1" applyFont="1" applyFill="1" applyBorder="1" applyAlignment="1">
      <alignment vertical="center"/>
    </xf>
    <xf numFmtId="191" fontId="13" fillId="15" borderId="6" xfId="21" applyNumberFormat="1" applyFill="1">
      <alignment vertical="center"/>
      <protection locked="0"/>
    </xf>
    <xf numFmtId="2" fontId="13" fillId="15" borderId="6" xfId="21" applyNumberFormat="1" applyFill="1">
      <alignment vertical="center"/>
      <protection locked="0"/>
    </xf>
    <xf numFmtId="10" fontId="13" fillId="15" borderId="6" xfId="21" applyNumberFormat="1" applyFill="1">
      <alignment vertical="center"/>
      <protection locked="0"/>
    </xf>
    <xf numFmtId="10" fontId="0" fillId="0" borderId="0" xfId="0" applyNumberFormat="1">
      <alignment vertical="center"/>
    </xf>
    <xf numFmtId="9" fontId="0" fillId="0" borderId="0" xfId="3" applyFont="1" applyAlignment="1">
      <alignment vertical="center"/>
    </xf>
    <xf numFmtId="169" fontId="4" fillId="14" borderId="5" xfId="20" applyNumberFormat="1" applyFill="1">
      <alignment vertical="center"/>
      <protection locked="0"/>
    </xf>
    <xf numFmtId="2" fontId="4" fillId="0" borderId="5" xfId="20" applyNumberFormat="1">
      <alignment vertical="center"/>
      <protection locked="0"/>
    </xf>
    <xf numFmtId="0" fontId="7" fillId="14" borderId="0" xfId="0" applyFont="1" applyFill="1">
      <alignment vertical="center"/>
    </xf>
    <xf numFmtId="2" fontId="13" fillId="4" borderId="6" xfId="21" applyNumberFormat="1">
      <alignment vertical="center"/>
      <protection locked="0"/>
    </xf>
    <xf numFmtId="0" fontId="0" fillId="14" borderId="0" xfId="62" applyFont="1" applyFill="1" applyAlignment="1">
      <alignment vertical="center" wrapText="1"/>
    </xf>
    <xf numFmtId="0" fontId="4" fillId="14" borderId="0" xfId="62" applyFill="1" applyAlignment="1">
      <alignment vertical="center" wrapText="1"/>
    </xf>
    <xf numFmtId="10" fontId="4" fillId="0" borderId="5" xfId="3" applyNumberFormat="1" applyBorder="1" applyAlignment="1" applyProtection="1">
      <alignment vertical="center"/>
      <protection locked="0"/>
    </xf>
    <xf numFmtId="0" fontId="17" fillId="9" borderId="0" xfId="28" applyAlignment="1">
      <alignment horizontal="left" vertical="top"/>
    </xf>
    <xf numFmtId="0" fontId="23" fillId="9" borderId="0" xfId="28" applyFont="1">
      <alignment horizontal="center" vertical="top" wrapText="1"/>
    </xf>
    <xf numFmtId="0" fontId="24" fillId="0" borderId="0" xfId="0" applyFont="1">
      <alignment vertical="center"/>
    </xf>
    <xf numFmtId="38" fontId="14" fillId="7" borderId="0" xfId="25" applyNumberFormat="1">
      <alignment vertical="center"/>
    </xf>
    <xf numFmtId="192" fontId="13" fillId="4" borderId="6" xfId="21" applyNumberFormat="1">
      <alignment vertical="center"/>
      <protection locked="0"/>
    </xf>
    <xf numFmtId="192" fontId="13" fillId="17" borderId="11" xfId="21" applyNumberFormat="1" applyFill="1" applyBorder="1">
      <alignment vertical="center"/>
      <protection locked="0"/>
    </xf>
    <xf numFmtId="0" fontId="0" fillId="0" borderId="0" xfId="0" applyAlignment="1">
      <alignment vertical="top"/>
    </xf>
    <xf numFmtId="10" fontId="14" fillId="7" borderId="0" xfId="3" applyNumberFormat="1" applyFont="1" applyFill="1" applyAlignment="1">
      <alignment vertical="center"/>
    </xf>
    <xf numFmtId="10" fontId="14" fillId="14" borderId="0" xfId="3" applyNumberFormat="1" applyFont="1" applyFill="1" applyBorder="1" applyAlignment="1">
      <alignment vertical="center"/>
    </xf>
    <xf numFmtId="0" fontId="4" fillId="0" borderId="12" xfId="22" applyBorder="1">
      <alignment vertical="center"/>
      <protection locked="0"/>
    </xf>
    <xf numFmtId="193" fontId="7" fillId="0" borderId="0" xfId="0" applyNumberFormat="1" applyFont="1">
      <alignment vertical="center"/>
    </xf>
    <xf numFmtId="169" fontId="7" fillId="0" borderId="0" xfId="0" applyNumberFormat="1" applyFont="1">
      <alignment vertical="center"/>
    </xf>
    <xf numFmtId="0" fontId="25" fillId="0" borderId="0" xfId="0" applyFont="1">
      <alignment vertical="center"/>
    </xf>
    <xf numFmtId="0" fontId="4" fillId="5" borderId="0" xfId="23">
      <alignment vertical="center"/>
    </xf>
    <xf numFmtId="0" fontId="4" fillId="0" borderId="6" xfId="22" applyProtection="1">
      <alignment vertical="center"/>
    </xf>
    <xf numFmtId="173" fontId="4" fillId="10" borderId="0" xfId="32" applyNumberFormat="1">
      <alignment vertical="center"/>
    </xf>
    <xf numFmtId="169" fontId="0" fillId="0" borderId="6" xfId="22" applyNumberFormat="1" applyFont="1">
      <alignment vertical="center"/>
      <protection locked="0"/>
    </xf>
    <xf numFmtId="169" fontId="0" fillId="0" borderId="11" xfId="22" applyNumberFormat="1" applyFont="1" applyBorder="1">
      <alignment vertical="center"/>
      <protection locked="0"/>
    </xf>
    <xf numFmtId="194" fontId="0" fillId="0" borderId="0" xfId="3" applyNumberFormat="1" applyFont="1" applyAlignment="1">
      <alignment vertical="center"/>
    </xf>
    <xf numFmtId="0" fontId="7" fillId="0" borderId="7" xfId="35" applyNumberFormat="1" applyFont="1">
      <alignment vertical="center"/>
    </xf>
    <xf numFmtId="0" fontId="26" fillId="0" borderId="7" xfId="35" applyNumberFormat="1" applyFont="1">
      <alignment vertical="center"/>
    </xf>
    <xf numFmtId="170" fontId="7" fillId="0" borderId="0" xfId="0" applyNumberFormat="1" applyFont="1">
      <alignment vertical="center"/>
    </xf>
    <xf numFmtId="37" fontId="0" fillId="10" borderId="0" xfId="32" applyNumberFormat="1" applyFont="1">
      <alignment vertical="center"/>
    </xf>
    <xf numFmtId="37" fontId="0" fillId="0" borderId="6" xfId="22" applyNumberFormat="1" applyFont="1">
      <alignment vertical="center"/>
      <protection locked="0"/>
    </xf>
    <xf numFmtId="37" fontId="0" fillId="0" borderId="11" xfId="22" applyNumberFormat="1" applyFont="1" applyBorder="1">
      <alignment vertical="center"/>
      <protection locked="0"/>
    </xf>
    <xf numFmtId="37" fontId="4" fillId="0" borderId="6" xfId="22" applyNumberFormat="1">
      <alignment vertical="center"/>
      <protection locked="0"/>
    </xf>
    <xf numFmtId="37" fontId="0" fillId="0" borderId="0" xfId="0" applyNumberFormat="1">
      <alignment vertical="center"/>
    </xf>
    <xf numFmtId="0" fontId="27" fillId="0" borderId="0" xfId="0" applyFont="1">
      <alignment vertical="center"/>
    </xf>
    <xf numFmtId="38" fontId="0" fillId="0" borderId="0" xfId="0" applyNumberFormat="1">
      <alignment vertical="center"/>
    </xf>
    <xf numFmtId="169" fontId="4" fillId="0" borderId="6" xfId="22" applyNumberFormat="1">
      <alignment vertical="center"/>
      <protection locked="0"/>
    </xf>
    <xf numFmtId="38" fontId="4" fillId="5" borderId="0" xfId="23" applyNumberFormat="1">
      <alignment vertical="center"/>
    </xf>
    <xf numFmtId="195" fontId="4" fillId="0" borderId="6" xfId="22" applyNumberFormat="1">
      <alignment vertical="center"/>
      <protection locked="0"/>
    </xf>
    <xf numFmtId="0" fontId="13" fillId="4" borderId="6" xfId="21" applyNumberFormat="1">
      <alignment vertical="center"/>
      <protection locked="0"/>
    </xf>
    <xf numFmtId="196" fontId="0" fillId="10" borderId="0" xfId="32" applyNumberFormat="1" applyFont="1">
      <alignment vertical="center"/>
    </xf>
    <xf numFmtId="0" fontId="4" fillId="0" borderId="0" xfId="22" applyFill="1" applyBorder="1">
      <alignment vertical="center"/>
      <protection locked="0"/>
    </xf>
    <xf numFmtId="37" fontId="4" fillId="5" borderId="0" xfId="23" applyNumberFormat="1">
      <alignment vertical="center"/>
    </xf>
    <xf numFmtId="2" fontId="4" fillId="0" borderId="5" xfId="20" applyNumberFormat="1" applyAlignment="1">
      <alignment horizontal="center" vertical="center"/>
      <protection locked="0"/>
    </xf>
    <xf numFmtId="0" fontId="4" fillId="0" borderId="5" xfId="61" applyAlignment="1">
      <alignment horizontal="center" vertical="center"/>
      <protection locked="0"/>
    </xf>
    <xf numFmtId="2" fontId="4" fillId="0" borderId="6" xfId="22" applyNumberFormat="1">
      <alignment vertical="center"/>
      <protection locked="0"/>
    </xf>
    <xf numFmtId="2" fontId="4" fillId="0" borderId="6" xfId="22" applyNumberFormat="1" applyAlignment="1">
      <alignment horizontal="center" vertical="center"/>
      <protection locked="0"/>
    </xf>
    <xf numFmtId="0" fontId="0" fillId="0" borderId="6" xfId="22" applyFont="1" applyAlignment="1">
      <alignment horizontal="center" vertical="center"/>
      <protection locked="0"/>
    </xf>
    <xf numFmtId="10" fontId="4" fillId="0" borderId="6" xfId="22" applyNumberFormat="1" applyAlignment="1">
      <alignment horizontal="center" vertical="center"/>
      <protection locked="0"/>
    </xf>
    <xf numFmtId="4" fontId="4" fillId="0" borderId="6" xfId="22" applyNumberFormat="1" applyAlignment="1">
      <alignment horizontal="center" vertical="center"/>
      <protection locked="0"/>
    </xf>
    <xf numFmtId="4" fontId="4" fillId="0" borderId="6" xfId="22" applyNumberFormat="1" applyFill="1" applyAlignment="1">
      <alignment horizontal="center" vertical="center"/>
      <protection locked="0"/>
    </xf>
    <xf numFmtId="0" fontId="16" fillId="0" borderId="7" xfId="35" applyNumberFormat="1" applyFont="1">
      <alignment vertical="center"/>
    </xf>
    <xf numFmtId="0" fontId="4" fillId="0" borderId="5" xfId="61">
      <alignment vertical="center"/>
      <protection locked="0"/>
    </xf>
    <xf numFmtId="0" fontId="4" fillId="0" borderId="6" xfId="22" applyFill="1">
      <alignment vertical="center"/>
      <protection locked="0"/>
    </xf>
    <xf numFmtId="0" fontId="17" fillId="11" borderId="13" xfId="54" applyNumberFormat="1" applyBorder="1" applyAlignment="1">
      <alignment horizontal="centerContinuous" vertical="top" wrapText="1"/>
    </xf>
    <xf numFmtId="0" fontId="23" fillId="11" borderId="0" xfId="54" applyFont="1">
      <alignment horizontal="centerContinuous" vertical="top"/>
    </xf>
    <xf numFmtId="2" fontId="0" fillId="0" borderId="6" xfId="22" applyNumberFormat="1" applyFont="1" applyAlignment="1">
      <alignment horizontal="center" vertical="center"/>
      <protection locked="0"/>
    </xf>
    <xf numFmtId="3" fontId="4" fillId="0" borderId="6" xfId="22" applyNumberFormat="1" applyAlignment="1">
      <alignment horizontal="center" vertical="center"/>
      <protection locked="0"/>
    </xf>
    <xf numFmtId="3" fontId="4" fillId="0" borderId="6" xfId="22" applyNumberFormat="1" applyAlignment="1" applyProtection="1">
      <alignment horizontal="center" vertical="center"/>
    </xf>
    <xf numFmtId="9" fontId="24" fillId="0" borderId="0" xfId="3" applyFont="1" applyAlignment="1">
      <alignment vertical="center"/>
    </xf>
    <xf numFmtId="189" fontId="24" fillId="0" borderId="0" xfId="3" applyNumberFormat="1" applyFont="1" applyAlignment="1">
      <alignment vertical="center"/>
    </xf>
    <xf numFmtId="1" fontId="0" fillId="0" borderId="6" xfId="22" applyNumberFormat="1" applyFont="1" applyAlignment="1">
      <alignment horizontal="center" vertical="center"/>
      <protection locked="0"/>
    </xf>
    <xf numFmtId="0" fontId="17" fillId="11" borderId="13" xfId="54" applyBorder="1">
      <alignment horizontal="centerContinuous" vertical="top"/>
    </xf>
    <xf numFmtId="3" fontId="4" fillId="0" borderId="6" xfId="22" applyNumberFormat="1" applyFill="1" applyAlignment="1">
      <alignment horizontal="center" vertical="center"/>
      <protection locked="0"/>
    </xf>
    <xf numFmtId="4" fontId="7" fillId="8" borderId="0" xfId="4" applyNumberFormat="1" applyAlignment="1">
      <alignment horizontal="center" vertical="center"/>
    </xf>
    <xf numFmtId="3" fontId="0" fillId="0" borderId="7" xfId="35" applyNumberFormat="1" applyFont="1">
      <alignment vertical="center"/>
    </xf>
    <xf numFmtId="0" fontId="30" fillId="0" borderId="7" xfId="35" applyNumberFormat="1" applyFont="1">
      <alignment vertical="center"/>
    </xf>
    <xf numFmtId="9" fontId="0" fillId="0" borderId="0" xfId="0" applyNumberFormat="1">
      <alignment vertical="center"/>
    </xf>
    <xf numFmtId="4" fontId="13" fillId="4" borderId="6" xfId="21" applyNumberFormat="1" applyAlignment="1">
      <alignment horizontal="center" vertical="center"/>
      <protection locked="0"/>
    </xf>
    <xf numFmtId="2" fontId="13" fillId="4" borderId="6" xfId="21" applyNumberFormat="1" applyAlignment="1">
      <alignment horizontal="center" vertical="center"/>
      <protection locked="0"/>
    </xf>
    <xf numFmtId="191" fontId="0" fillId="0" borderId="0" xfId="0" applyNumberFormat="1">
      <alignment vertical="center"/>
    </xf>
    <xf numFmtId="1" fontId="4" fillId="0" borderId="4" xfId="16" applyNumberFormat="1" applyAlignment="1">
      <alignment horizontal="center" vertical="center" wrapText="1"/>
      <protection locked="0"/>
    </xf>
    <xf numFmtId="191" fontId="4" fillId="0" borderId="6" xfId="22" applyNumberFormat="1" applyAlignment="1">
      <alignment horizontal="center" vertical="center"/>
      <protection locked="0"/>
    </xf>
    <xf numFmtId="10" fontId="4" fillId="14" borderId="6" xfId="22" applyNumberFormat="1" applyFill="1" applyAlignment="1">
      <alignment horizontal="center" vertical="center"/>
      <protection locked="0"/>
    </xf>
    <xf numFmtId="1" fontId="31" fillId="0" borderId="0" xfId="1" applyNumberFormat="1" applyFont="1" applyAlignment="1">
      <alignment vertical="center"/>
    </xf>
    <xf numFmtId="191" fontId="4" fillId="0" borderId="6" xfId="22" applyNumberFormat="1" applyFill="1" applyAlignment="1">
      <alignment horizontal="center" vertical="center"/>
      <protection locked="0"/>
    </xf>
    <xf numFmtId="1" fontId="0" fillId="0" borderId="0" xfId="0" applyNumberFormat="1">
      <alignment vertical="center"/>
    </xf>
    <xf numFmtId="0" fontId="17" fillId="11" borderId="14" xfId="54" applyBorder="1">
      <alignment horizontal="centerContinuous" vertical="top"/>
    </xf>
    <xf numFmtId="0" fontId="17" fillId="11" borderId="15" xfId="54" applyBorder="1">
      <alignment horizontal="centerContinuous" vertical="top"/>
    </xf>
    <xf numFmtId="0" fontId="7" fillId="18" borderId="0" xfId="28" applyFont="1" applyFill="1">
      <alignment horizontal="center" vertical="top" wrapText="1"/>
    </xf>
    <xf numFmtId="2" fontId="4" fillId="17" borderId="0" xfId="21" applyNumberFormat="1" applyFont="1" applyFill="1" applyBorder="1">
      <alignment vertical="center"/>
      <protection locked="0"/>
    </xf>
    <xf numFmtId="0" fontId="17" fillId="11" borderId="0" xfId="53" applyAlignment="1">
      <alignment horizontal="center" vertical="top" wrapText="1"/>
    </xf>
    <xf numFmtId="0" fontId="17" fillId="11" borderId="0" xfId="54" applyAlignment="1">
      <alignment horizontal="centerContinuous" vertical="top" wrapText="1"/>
    </xf>
    <xf numFmtId="0" fontId="17" fillId="9" borderId="16" xfId="28" applyBorder="1">
      <alignment horizontal="center" vertical="top" wrapText="1"/>
    </xf>
    <xf numFmtId="1" fontId="4" fillId="0" borderId="5" xfId="20" applyNumberFormat="1" applyAlignment="1">
      <alignment horizontal="center" vertical="center"/>
      <protection locked="0"/>
    </xf>
    <xf numFmtId="1" fontId="4" fillId="0" borderId="5" xfId="20" applyNumberFormat="1" applyAlignment="1">
      <alignment horizontal="center" vertical="center" wrapText="1"/>
      <protection locked="0"/>
    </xf>
    <xf numFmtId="4" fontId="4" fillId="5" borderId="0" xfId="23" applyNumberFormat="1">
      <alignment vertical="center"/>
    </xf>
    <xf numFmtId="0" fontId="4" fillId="14" borderId="0" xfId="32" applyFont="1" applyFill="1" applyBorder="1">
      <alignment vertical="center"/>
    </xf>
    <xf numFmtId="0" fontId="0" fillId="0" borderId="0" xfId="35" applyNumberFormat="1" applyFont="1" applyBorder="1">
      <alignment vertical="center"/>
    </xf>
    <xf numFmtId="0" fontId="7" fillId="12" borderId="0" xfId="57" applyNumberFormat="1" applyAlignment="1">
      <alignment horizontal="center" vertical="top" wrapText="1"/>
    </xf>
    <xf numFmtId="0" fontId="7" fillId="12" borderId="0" xfId="57" applyNumberFormat="1" applyAlignment="1">
      <alignment vertical="top" wrapText="1"/>
    </xf>
    <xf numFmtId="0" fontId="7" fillId="14" borderId="0" xfId="57" applyNumberFormat="1" applyFill="1" applyAlignment="1">
      <alignment vertical="top" wrapText="1"/>
    </xf>
    <xf numFmtId="0" fontId="17" fillId="14" borderId="0" xfId="53" applyFill="1" applyAlignment="1">
      <alignment horizontal="center" vertical="top" wrapText="1"/>
    </xf>
    <xf numFmtId="0" fontId="17" fillId="11" borderId="0" xfId="53" applyAlignment="1">
      <alignment horizontal="center" vertical="center" wrapText="1"/>
    </xf>
    <xf numFmtId="0" fontId="17" fillId="9" borderId="13" xfId="28" applyBorder="1" applyAlignment="1">
      <alignment horizontal="center" vertical="center" wrapText="1"/>
    </xf>
    <xf numFmtId="1" fontId="4" fillId="0" borderId="0" xfId="16" applyNumberFormat="1" applyBorder="1" applyAlignment="1">
      <alignment horizontal="center" vertical="center" wrapText="1"/>
      <protection locked="0"/>
    </xf>
    <xf numFmtId="1" fontId="4" fillId="14" borderId="5" xfId="20" applyNumberFormat="1" applyFill="1" applyAlignment="1">
      <alignment horizontal="center" vertical="center" wrapText="1"/>
      <protection locked="0"/>
    </xf>
    <xf numFmtId="2" fontId="7" fillId="8" borderId="0" xfId="4" applyNumberFormat="1">
      <alignment vertical="center"/>
    </xf>
    <xf numFmtId="2" fontId="7" fillId="14" borderId="0" xfId="4" applyNumberFormat="1" applyFill="1">
      <alignment vertical="center"/>
    </xf>
    <xf numFmtId="2" fontId="13" fillId="4" borderId="6" xfId="21" applyNumberFormat="1" applyAlignment="1">
      <alignment horizontal="right" vertical="center"/>
      <protection locked="0"/>
    </xf>
    <xf numFmtId="1" fontId="31" fillId="0" borderId="0" xfId="16" applyNumberFormat="1" applyFont="1" applyBorder="1" applyAlignment="1">
      <alignment horizontal="center" vertical="center" wrapText="1"/>
      <protection locked="0"/>
    </xf>
    <xf numFmtId="10" fontId="7" fillId="0" borderId="7" xfId="35" applyNumberFormat="1" applyFont="1">
      <alignment vertical="center"/>
    </xf>
    <xf numFmtId="2" fontId="4" fillId="0" borderId="0" xfId="22" applyNumberFormat="1" applyFill="1" applyBorder="1" applyAlignment="1">
      <alignment horizontal="center" vertical="center"/>
      <protection locked="0"/>
    </xf>
    <xf numFmtId="0" fontId="17" fillId="11" borderId="0" xfId="53" applyAlignment="1">
      <alignment horizontal="left" vertical="top"/>
    </xf>
    <xf numFmtId="197" fontId="14" fillId="7" borderId="0" xfId="1" applyFont="1" applyFill="1" applyAlignment="1">
      <alignment vertical="center"/>
    </xf>
    <xf numFmtId="2" fontId="0" fillId="0" borderId="0" xfId="0" applyNumberFormat="1">
      <alignment vertical="center"/>
    </xf>
    <xf numFmtId="192" fontId="13" fillId="4" borderId="6" xfId="1" applyNumberFormat="1" applyFont="1" applyFill="1" applyBorder="1" applyAlignment="1" applyProtection="1">
      <alignment horizontal="left" vertical="center"/>
      <protection locked="0"/>
    </xf>
    <xf numFmtId="0" fontId="17" fillId="0" borderId="0" xfId="28" applyFill="1">
      <alignment horizontal="center" vertical="top" wrapText="1"/>
    </xf>
    <xf numFmtId="0" fontId="7" fillId="0" borderId="0" xfId="0" applyFont="1" applyAlignment="1">
      <alignment horizontal="center" vertical="center"/>
    </xf>
    <xf numFmtId="3" fontId="7" fillId="0" borderId="17" xfId="22" applyNumberFormat="1" applyFont="1" applyFill="1" applyBorder="1" applyAlignment="1">
      <alignment horizontal="center" vertical="center"/>
      <protection locked="0"/>
    </xf>
    <xf numFmtId="10" fontId="4" fillId="0" borderId="6" xfId="3" applyNumberFormat="1" applyBorder="1" applyAlignment="1" applyProtection="1">
      <alignment horizontal="center" vertical="center"/>
      <protection locked="0"/>
    </xf>
    <xf numFmtId="3" fontId="13" fillId="4" borderId="6" xfId="21" applyNumberFormat="1" applyAlignment="1">
      <alignment horizontal="center" vertical="center"/>
      <protection locked="0"/>
    </xf>
    <xf numFmtId="4" fontId="7" fillId="8" borderId="0" xfId="4" applyNumberFormat="1">
      <alignment vertical="center"/>
    </xf>
    <xf numFmtId="9" fontId="4" fillId="0" borderId="0" xfId="22" applyNumberFormat="1" applyFill="1" applyBorder="1" applyAlignment="1">
      <alignment horizontal="center" vertical="center"/>
      <protection locked="0"/>
    </xf>
    <xf numFmtId="3" fontId="7" fillId="0" borderId="7" xfId="35" applyNumberFormat="1" applyFont="1" applyAlignment="1">
      <alignment horizontal="center" vertical="center"/>
    </xf>
    <xf numFmtId="9" fontId="7" fillId="0" borderId="7" xfId="35" applyNumberFormat="1" applyFont="1" applyAlignment="1">
      <alignment horizontal="center" vertical="center"/>
    </xf>
    <xf numFmtId="3" fontId="7" fillId="0" borderId="0" xfId="35" applyNumberFormat="1" applyFont="1" applyFill="1" applyBorder="1">
      <alignment vertical="center"/>
    </xf>
    <xf numFmtId="10" fontId="4" fillId="5" borderId="0" xfId="23" applyNumberFormat="1" applyAlignment="1">
      <alignment horizontal="center" vertical="center"/>
    </xf>
    <xf numFmtId="198" fontId="7" fillId="8" borderId="0" xfId="4" applyNumberFormat="1">
      <alignment vertical="center"/>
    </xf>
    <xf numFmtId="4" fontId="14" fillId="7" borderId="0" xfId="25" applyNumberFormat="1">
      <alignment vertical="center"/>
    </xf>
    <xf numFmtId="0" fontId="0" fillId="14" borderId="0" xfId="0" applyFill="1" applyAlignment="1">
      <alignment vertical="center" wrapText="1"/>
    </xf>
    <xf numFmtId="0" fontId="9" fillId="0" borderId="0" xfId="59" applyFont="1" applyBorder="1">
      <alignment vertical="center"/>
      <protection locked="0"/>
    </xf>
    <xf numFmtId="3" fontId="7" fillId="0" borderId="6" xfId="22" applyNumberFormat="1" applyFont="1" applyAlignment="1">
      <alignment horizontal="center" vertical="center"/>
      <protection locked="0"/>
    </xf>
    <xf numFmtId="10" fontId="7" fillId="0" borderId="7" xfId="35" applyNumberFormat="1" applyFont="1" applyAlignment="1">
      <alignment horizontal="center" vertical="center"/>
    </xf>
    <xf numFmtId="10" fontId="0" fillId="0" borderId="6" xfId="3" applyNumberFormat="1" applyFont="1" applyBorder="1" applyAlignment="1" applyProtection="1">
      <alignment horizontal="center" vertical="center"/>
      <protection locked="0"/>
    </xf>
    <xf numFmtId="197" fontId="13" fillId="4" borderId="6" xfId="21" applyNumberFormat="1" applyAlignment="1">
      <alignment horizontal="center" vertical="center"/>
      <protection locked="0"/>
    </xf>
    <xf numFmtId="4" fontId="0" fillId="0" borderId="0" xfId="0" applyNumberFormat="1">
      <alignment vertical="center"/>
    </xf>
    <xf numFmtId="3" fontId="7" fillId="0" borderId="7" xfId="35" applyNumberFormat="1" applyFont="1">
      <alignment vertical="center"/>
    </xf>
    <xf numFmtId="0" fontId="0" fillId="0" borderId="0" xfId="0" applyAlignment="1"/>
    <xf numFmtId="0" fontId="7" fillId="12" borderId="18" xfId="57" applyNumberFormat="1" applyBorder="1" applyAlignment="1">
      <alignment horizontal="centerContinuous" vertical="center"/>
    </xf>
    <xf numFmtId="0" fontId="7" fillId="14" borderId="18" xfId="57" applyNumberFormat="1" applyFill="1" applyBorder="1" applyAlignment="1">
      <alignment horizontal="centerContinuous" vertical="center"/>
    </xf>
    <xf numFmtId="0" fontId="17" fillId="9" borderId="19" xfId="28" applyBorder="1">
      <alignment horizontal="center" vertical="top" wrapText="1"/>
    </xf>
    <xf numFmtId="0" fontId="9" fillId="0" borderId="10" xfId="59" applyFont="1">
      <alignment vertical="center"/>
      <protection locked="0"/>
    </xf>
    <xf numFmtId="0" fontId="4" fillId="19" borderId="0" xfId="63">
      <alignment vertical="center"/>
    </xf>
    <xf numFmtId="192" fontId="4" fillId="0" borderId="5" xfId="1" applyNumberFormat="1" applyBorder="1" applyAlignment="1" applyProtection="1">
      <alignment vertical="center"/>
      <protection locked="0"/>
    </xf>
    <xf numFmtId="197" fontId="4" fillId="0" borderId="5" xfId="1" applyBorder="1" applyAlignment="1" applyProtection="1">
      <alignment vertical="center"/>
      <protection locked="0"/>
    </xf>
    <xf numFmtId="171" fontId="4" fillId="0" borderId="5" xfId="2" applyNumberFormat="1" applyFill="1" applyBorder="1" applyAlignment="1" applyProtection="1">
      <alignment vertical="center"/>
      <protection locked="0"/>
    </xf>
    <xf numFmtId="171" fontId="4" fillId="0" borderId="5" xfId="2" applyNumberFormat="1" applyFont="1" applyFill="1" applyBorder="1" applyAlignment="1" applyProtection="1">
      <alignment vertical="center"/>
      <protection locked="0"/>
    </xf>
    <xf numFmtId="0" fontId="31" fillId="14" borderId="0" xfId="0" applyFont="1" applyFill="1">
      <alignment vertical="center"/>
    </xf>
    <xf numFmtId="192" fontId="7" fillId="0" borderId="20" xfId="1" applyNumberFormat="1" applyFont="1" applyFill="1" applyBorder="1" applyAlignment="1" applyProtection="1">
      <alignment vertical="center"/>
      <protection locked="0"/>
    </xf>
    <xf numFmtId="9" fontId="7" fillId="0" borderId="20" xfId="3" applyFont="1" applyFill="1" applyBorder="1" applyAlignment="1" applyProtection="1">
      <alignment vertical="center"/>
      <protection locked="0"/>
    </xf>
    <xf numFmtId="0" fontId="0" fillId="0" borderId="20" xfId="0" applyBorder="1">
      <alignment vertical="center"/>
    </xf>
    <xf numFmtId="0" fontId="32" fillId="0" borderId="0" xfId="64" applyFont="1" applyBorder="1">
      <alignment vertical="center"/>
      <protection locked="0"/>
    </xf>
    <xf numFmtId="0" fontId="9" fillId="0" borderId="0" xfId="0" applyFont="1">
      <alignment vertical="center"/>
    </xf>
    <xf numFmtId="3" fontId="13" fillId="15" borderId="6" xfId="21" applyNumberFormat="1" applyFill="1" applyAlignment="1">
      <alignment horizontal="center" vertical="center"/>
      <protection locked="0"/>
    </xf>
    <xf numFmtId="192" fontId="4" fillId="15" borderId="0" xfId="1" applyNumberFormat="1" applyFill="1" applyAlignment="1">
      <alignment horizontal="center" vertical="center"/>
    </xf>
    <xf numFmtId="0" fontId="33" fillId="0" borderId="0" xfId="0" applyFont="1" applyAlignment="1"/>
    <xf numFmtId="0" fontId="34" fillId="0" borderId="0" xfId="0" applyFont="1" applyAlignment="1"/>
    <xf numFmtId="192" fontId="33" fillId="0" borderId="0" xfId="1" applyNumberFormat="1" applyFont="1" applyFill="1" applyBorder="1"/>
    <xf numFmtId="0" fontId="0" fillId="14" borderId="0" xfId="20" applyFont="1" applyFill="1" applyBorder="1">
      <alignment vertical="center"/>
      <protection locked="0"/>
    </xf>
    <xf numFmtId="0" fontId="4" fillId="14" borderId="0" xfId="20" applyFill="1" applyBorder="1">
      <alignment vertical="center"/>
      <protection locked="0"/>
    </xf>
    <xf numFmtId="0" fontId="0" fillId="0" borderId="7" xfId="35" applyNumberFormat="1" applyFont="1" applyAlignment="1">
      <alignment horizontal="centerContinuous" vertical="center"/>
    </xf>
    <xf numFmtId="0" fontId="0" fillId="0" borderId="0" xfId="0" applyAlignment="1">
      <alignment horizontal="centerContinuous" vertical="center"/>
    </xf>
    <xf numFmtId="0" fontId="7" fillId="0" borderId="0" xfId="0" applyFont="1" applyAlignment="1">
      <alignment horizontal="right" vertical="center"/>
    </xf>
    <xf numFmtId="0" fontId="0" fillId="0" borderId="0" xfId="0" applyAlignment="1">
      <alignment horizontal="left" vertical="center"/>
    </xf>
    <xf numFmtId="0" fontId="7" fillId="0" borderId="4" xfId="16" applyFont="1" applyAlignment="1">
      <alignment horizontal="center" vertical="center"/>
      <protection locked="0"/>
    </xf>
    <xf numFmtId="3" fontId="4" fillId="0" borderId="5" xfId="20" applyNumberFormat="1" applyAlignment="1">
      <alignment horizontal="center" vertical="center"/>
      <protection locked="0"/>
    </xf>
    <xf numFmtId="0" fontId="4" fillId="5" borderId="0" xfId="23" applyAlignment="1">
      <alignment horizontal="center" vertical="center"/>
    </xf>
    <xf numFmtId="3" fontId="4" fillId="5" borderId="0" xfId="23" applyNumberFormat="1" applyAlignment="1">
      <alignment horizontal="center" vertical="center"/>
    </xf>
    <xf numFmtId="10" fontId="13" fillId="4" borderId="6" xfId="21" applyNumberFormat="1" applyAlignment="1">
      <alignment horizontal="center" vertical="center"/>
      <protection locked="0"/>
    </xf>
    <xf numFmtId="10" fontId="7" fillId="8" borderId="0" xfId="4" applyNumberFormat="1">
      <alignment vertical="center"/>
    </xf>
    <xf numFmtId="0" fontId="4" fillId="5" borderId="0" xfId="23" applyAlignment="1">
      <alignment horizontal="left" vertical="center"/>
    </xf>
    <xf numFmtId="199" fontId="4" fillId="5" borderId="0" xfId="23" applyNumberFormat="1" applyAlignment="1">
      <alignment horizontal="center" vertical="center"/>
    </xf>
    <xf numFmtId="1" fontId="4" fillId="5" borderId="0" xfId="23" applyNumberFormat="1" applyAlignment="1">
      <alignment horizontal="center" vertical="center"/>
    </xf>
    <xf numFmtId="3" fontId="4" fillId="10" borderId="0" xfId="32" applyNumberFormat="1" applyAlignment="1">
      <alignment horizontal="center" vertical="center"/>
    </xf>
    <xf numFmtId="10" fontId="7" fillId="10" borderId="0" xfId="32" applyNumberFormat="1" applyFont="1">
      <alignment vertical="center"/>
    </xf>
    <xf numFmtId="10" fontId="4" fillId="5" borderId="0" xfId="3" applyNumberFormat="1" applyFill="1" applyAlignment="1">
      <alignment horizontal="center" vertical="center"/>
    </xf>
    <xf numFmtId="10" fontId="24" fillId="4" borderId="6" xfId="21" applyNumberFormat="1" applyFont="1" applyAlignment="1">
      <alignment horizontal="center" vertical="center"/>
      <protection locked="0"/>
    </xf>
    <xf numFmtId="3" fontId="4" fillId="10" borderId="0" xfId="32" applyNumberFormat="1" applyFont="1" applyAlignment="1">
      <alignment horizontal="left" vertical="center"/>
    </xf>
    <xf numFmtId="0" fontId="27" fillId="0" borderId="0" xfId="57" applyNumberFormat="1" applyFont="1" applyFill="1" applyAlignment="1">
      <alignment horizontal="center" vertical="top" wrapText="1"/>
    </xf>
    <xf numFmtId="0" fontId="27" fillId="0" borderId="0" xfId="53" applyFont="1" applyFill="1" applyAlignment="1">
      <alignment horizontal="center" vertical="center" wrapText="1"/>
    </xf>
    <xf numFmtId="0" fontId="27" fillId="0" borderId="0" xfId="53" applyFont="1" applyFill="1">
      <alignment horizontal="left" vertical="top" wrapText="1"/>
    </xf>
    <xf numFmtId="0" fontId="27" fillId="0" borderId="0" xfId="0" applyFont="1" applyAlignment="1">
      <alignment horizontal="center" vertical="center"/>
    </xf>
    <xf numFmtId="200" fontId="13" fillId="0" borderId="0" xfId="21" applyNumberFormat="1" applyFill="1" applyBorder="1">
      <alignment vertical="center"/>
      <protection locked="0"/>
    </xf>
    <xf numFmtId="0" fontId="24" fillId="0" borderId="0" xfId="32" applyFont="1" applyFill="1" applyBorder="1">
      <alignment vertical="center"/>
    </xf>
    <xf numFmtId="0" fontId="4" fillId="14" borderId="6" xfId="22" applyFill="1" applyProtection="1">
      <alignment vertical="center"/>
    </xf>
    <xf numFmtId="2" fontId="24" fillId="0" borderId="0" xfId="21" applyNumberFormat="1" applyFont="1" applyFill="1" applyBorder="1">
      <alignment vertical="center"/>
      <protection locked="0"/>
    </xf>
    <xf numFmtId="2" fontId="27" fillId="0" borderId="0" xfId="4" applyNumberFormat="1" applyFont="1" applyFill="1">
      <alignment vertical="center"/>
    </xf>
    <xf numFmtId="10" fontId="0" fillId="0" borderId="0" xfId="3" applyNumberFormat="1" applyFont="1" applyAlignment="1">
      <alignment vertical="center"/>
    </xf>
    <xf numFmtId="200" fontId="4" fillId="14" borderId="0" xfId="23" applyNumberFormat="1" applyFill="1">
      <alignment vertical="center"/>
    </xf>
    <xf numFmtId="1" fontId="13" fillId="17" borderId="0" xfId="21" applyNumberFormat="1" applyFill="1" applyBorder="1">
      <alignment vertical="center"/>
      <protection locked="0"/>
    </xf>
    <xf numFmtId="0" fontId="17" fillId="9" borderId="14" xfId="28" applyBorder="1">
      <alignment horizontal="center" vertical="top" wrapText="1"/>
    </xf>
    <xf numFmtId="0" fontId="27" fillId="0" borderId="0" xfId="28" applyFont="1" applyFill="1">
      <alignment horizontal="center" vertical="top" wrapText="1"/>
    </xf>
    <xf numFmtId="2" fontId="0" fillId="5" borderId="0" xfId="23" applyNumberFormat="1" applyFont="1" applyAlignment="1">
      <alignment horizontal="center" vertical="center"/>
    </xf>
    <xf numFmtId="2" fontId="24" fillId="0" borderId="0" xfId="21" applyNumberFormat="1" applyFont="1" applyFill="1" applyBorder="1" applyAlignment="1">
      <alignment horizontal="center" vertical="center"/>
      <protection locked="0"/>
    </xf>
    <xf numFmtId="2" fontId="24" fillId="0" borderId="0" xfId="22" applyNumberFormat="1" applyFont="1" applyFill="1" applyBorder="1" applyAlignment="1" applyProtection="1">
      <alignment horizontal="center" vertical="center"/>
    </xf>
    <xf numFmtId="2" fontId="27" fillId="0" borderId="0" xfId="4" applyNumberFormat="1" applyFont="1" applyFill="1" applyAlignment="1">
      <alignment horizontal="center" vertical="center"/>
    </xf>
    <xf numFmtId="201" fontId="24" fillId="0" borderId="0" xfId="1" applyNumberFormat="1" applyFont="1" applyFill="1" applyBorder="1" applyAlignment="1">
      <alignment vertical="center"/>
    </xf>
    <xf numFmtId="9" fontId="0" fillId="0" borderId="0" xfId="3" applyFont="1" applyFill="1" applyBorder="1" applyAlignment="1">
      <alignment vertical="center"/>
    </xf>
    <xf numFmtId="0" fontId="0" fillId="14" borderId="6" xfId="22" applyFont="1" applyFill="1" applyProtection="1">
      <alignment vertical="center"/>
    </xf>
    <xf numFmtId="200" fontId="4" fillId="0" borderId="0" xfId="23" applyNumberFormat="1" applyFill="1">
      <alignment vertical="center"/>
    </xf>
    <xf numFmtId="0" fontId="0" fillId="14" borderId="7" xfId="35" applyNumberFormat="1" applyFont="1" applyFill="1">
      <alignment vertical="center"/>
    </xf>
    <xf numFmtId="0" fontId="0" fillId="14" borderId="0" xfId="35" applyNumberFormat="1" applyFont="1" applyFill="1" applyBorder="1">
      <alignment vertical="center"/>
    </xf>
    <xf numFmtId="0" fontId="27" fillId="9" borderId="0" xfId="28" applyFont="1">
      <alignment horizontal="center" vertical="top" wrapText="1"/>
    </xf>
    <xf numFmtId="0" fontId="4" fillId="0" borderId="6" xfId="22" applyFill="1" applyProtection="1">
      <alignment vertical="center"/>
    </xf>
    <xf numFmtId="1" fontId="4" fillId="0" borderId="22" xfId="20" applyNumberFormat="1" applyBorder="1" applyAlignment="1">
      <alignment horizontal="center" vertical="center"/>
      <protection locked="0"/>
    </xf>
    <xf numFmtId="9" fontId="4" fillId="4" borderId="6" xfId="3" applyFont="1" applyFill="1" applyBorder="1" applyAlignment="1" applyProtection="1">
      <alignment horizontal="center" vertical="center"/>
      <protection locked="0"/>
    </xf>
    <xf numFmtId="9" fontId="24" fillId="0" borderId="0" xfId="3" applyFont="1" applyAlignment="1">
      <alignment horizontal="center" vertical="center"/>
    </xf>
    <xf numFmtId="2" fontId="4" fillId="19" borderId="0" xfId="63" applyNumberFormat="1" applyAlignment="1">
      <alignment horizontal="center" vertical="center"/>
    </xf>
    <xf numFmtId="2" fontId="7" fillId="8" borderId="0" xfId="4" applyNumberFormat="1" applyAlignment="1">
      <alignment horizontal="center" vertical="center"/>
    </xf>
    <xf numFmtId="201" fontId="24" fillId="0" borderId="0" xfId="1" applyNumberFormat="1" applyFont="1" applyFill="1" applyAlignment="1">
      <alignment vertical="center"/>
    </xf>
    <xf numFmtId="9" fontId="0" fillId="0" borderId="0" xfId="3" applyFont="1" applyFill="1" applyAlignment="1">
      <alignment vertical="center"/>
    </xf>
    <xf numFmtId="2" fontId="4" fillId="0" borderId="0" xfId="1" applyNumberFormat="1" applyFont="1" applyFill="1" applyAlignment="1">
      <alignment vertical="center"/>
    </xf>
    <xf numFmtId="2" fontId="4" fillId="0" borderId="0" xfId="0" applyNumberFormat="1" applyFont="1">
      <alignment vertical="center"/>
    </xf>
    <xf numFmtId="0" fontId="0" fillId="0" borderId="0" xfId="0" applyAlignment="1">
      <alignment vertical="center" wrapText="1"/>
    </xf>
    <xf numFmtId="0" fontId="4" fillId="14" borderId="0" xfId="15" applyFill="1" applyAlignment="1">
      <alignment vertical="center" wrapText="1"/>
    </xf>
    <xf numFmtId="0" fontId="17" fillId="9" borderId="23" xfId="28" applyBorder="1">
      <alignment horizontal="center" vertical="top" wrapText="1"/>
    </xf>
    <xf numFmtId="0" fontId="7" fillId="10" borderId="0" xfId="32" applyFont="1" applyAlignment="1">
      <alignment horizontal="center" vertical="center"/>
    </xf>
    <xf numFmtId="39" fontId="0" fillId="0" borderId="0" xfId="0" applyNumberFormat="1">
      <alignment vertical="center"/>
    </xf>
    <xf numFmtId="37" fontId="7" fillId="8" borderId="0" xfId="4" applyNumberFormat="1">
      <alignment vertical="center"/>
    </xf>
    <xf numFmtId="0" fontId="36" fillId="0" borderId="0" xfId="7" applyFont="1" applyAlignment="1">
      <alignment vertical="center"/>
    </xf>
    <xf numFmtId="169" fontId="37" fillId="0" borderId="0" xfId="7" applyNumberFormat="1" applyFont="1" applyAlignment="1">
      <alignment vertical="center"/>
    </xf>
    <xf numFmtId="195" fontId="4" fillId="0" borderId="5" xfId="65" applyNumberFormat="1">
      <alignment vertical="center"/>
      <protection locked="0"/>
    </xf>
    <xf numFmtId="0" fontId="16" fillId="0" borderId="0" xfId="27" applyAlignment="1">
      <alignment horizontal="left" vertical="center"/>
    </xf>
    <xf numFmtId="0" fontId="13" fillId="4" borderId="6" xfId="21" applyNumberFormat="1" applyAlignment="1">
      <alignment horizontal="center" vertical="center"/>
      <protection locked="0"/>
    </xf>
    <xf numFmtId="39" fontId="7" fillId="8" borderId="0" xfId="4" applyNumberFormat="1">
      <alignment vertical="center"/>
    </xf>
    <xf numFmtId="2" fontId="4" fillId="0" borderId="10" xfId="59" applyNumberFormat="1" applyAlignment="1">
      <alignment horizontal="center" vertical="center"/>
      <protection locked="0"/>
    </xf>
    <xf numFmtId="199" fontId="0" fillId="0" borderId="6" xfId="22" applyNumberFormat="1" applyFont="1" applyAlignment="1">
      <alignment horizontal="center" vertical="center"/>
      <protection locked="0"/>
    </xf>
    <xf numFmtId="0" fontId="4" fillId="10" borderId="0" xfId="32" applyFont="1" applyAlignment="1">
      <alignment horizontal="center" vertical="center"/>
    </xf>
    <xf numFmtId="39" fontId="4" fillId="0" borderId="10" xfId="59" applyNumberFormat="1" applyAlignment="1">
      <alignment horizontal="center" vertical="center"/>
      <protection locked="0"/>
    </xf>
    <xf numFmtId="202" fontId="0" fillId="0" borderId="0" xfId="0" applyNumberFormat="1">
      <alignment vertical="center"/>
    </xf>
    <xf numFmtId="0" fontId="13" fillId="0" borderId="6" xfId="21" applyNumberFormat="1" applyFill="1" applyAlignment="1">
      <alignment horizontal="center" vertical="center"/>
      <protection locked="0"/>
    </xf>
    <xf numFmtId="199" fontId="0" fillId="0" borderId="6" xfId="22" applyNumberFormat="1" applyFont="1" applyFill="1" applyAlignment="1">
      <alignment horizontal="center" vertical="center"/>
      <protection locked="0"/>
    </xf>
    <xf numFmtId="169" fontId="7" fillId="8" borderId="24" xfId="4" applyNumberFormat="1" applyBorder="1">
      <alignment vertical="center"/>
    </xf>
    <xf numFmtId="2" fontId="0" fillId="0" borderId="6" xfId="22" applyNumberFormat="1" applyFont="1" applyFill="1" applyAlignment="1">
      <alignment horizontal="center" vertical="center"/>
      <protection locked="0"/>
    </xf>
    <xf numFmtId="2" fontId="0" fillId="0" borderId="25" xfId="22" applyNumberFormat="1" applyFont="1" applyBorder="1" applyAlignment="1">
      <alignment horizontal="center" vertical="center"/>
      <protection locked="0"/>
    </xf>
    <xf numFmtId="192" fontId="0" fillId="14" borderId="0" xfId="0" applyNumberFormat="1" applyFill="1">
      <alignment vertical="center"/>
    </xf>
    <xf numFmtId="39" fontId="7" fillId="20" borderId="0" xfId="4" applyNumberFormat="1" applyFill="1">
      <alignment vertical="center"/>
    </xf>
    <xf numFmtId="199" fontId="4" fillId="20" borderId="0" xfId="23" applyNumberFormat="1" applyFill="1" applyAlignment="1">
      <alignment horizontal="center" vertical="center"/>
    </xf>
    <xf numFmtId="199" fontId="0" fillId="20" borderId="6" xfId="22" applyNumberFormat="1" applyFont="1" applyFill="1" applyAlignment="1">
      <alignment horizontal="center" vertical="center"/>
      <protection locked="0"/>
    </xf>
    <xf numFmtId="0" fontId="7" fillId="0" borderId="0" xfId="0" applyFont="1" applyAlignment="1">
      <alignment horizontal="left" vertical="top" indent="1"/>
    </xf>
    <xf numFmtId="199" fontId="0" fillId="0" borderId="26" xfId="22" applyNumberFormat="1" applyFont="1" applyBorder="1" applyAlignment="1">
      <alignment horizontal="center" vertical="center"/>
      <protection locked="0"/>
    </xf>
    <xf numFmtId="199" fontId="4" fillId="14" borderId="0" xfId="23" applyNumberFormat="1" applyFill="1" applyAlignment="1">
      <alignment horizontal="center" vertical="center"/>
    </xf>
    <xf numFmtId="0" fontId="0" fillId="14" borderId="0" xfId="0" applyFill="1" applyAlignment="1">
      <alignment horizontal="center" vertical="center"/>
    </xf>
    <xf numFmtId="0" fontId="4" fillId="20" borderId="6" xfId="22" applyFill="1" applyAlignment="1">
      <alignment horizontal="center" vertical="center"/>
      <protection locked="0"/>
    </xf>
    <xf numFmtId="0" fontId="4" fillId="0" borderId="6" xfId="22" applyFill="1" applyAlignment="1">
      <alignment horizontal="center" vertical="center"/>
      <protection locked="0"/>
    </xf>
    <xf numFmtId="0" fontId="4" fillId="20" borderId="5" xfId="20" applyFill="1" applyAlignment="1">
      <alignment horizontal="center" vertical="center"/>
      <protection locked="0"/>
    </xf>
    <xf numFmtId="0" fontId="4" fillId="0" borderId="5" xfId="20" applyAlignment="1">
      <alignment horizontal="center" vertical="center"/>
      <protection locked="0"/>
    </xf>
    <xf numFmtId="10" fontId="0" fillId="0" borderId="0" xfId="3" applyNumberFormat="1" applyFont="1" applyAlignment="1">
      <alignment vertical="center" wrapText="1"/>
    </xf>
    <xf numFmtId="169" fontId="4" fillId="20" borderId="6" xfId="22" applyNumberFormat="1" applyFill="1" applyAlignment="1">
      <alignment horizontal="center" vertical="center"/>
      <protection locked="0"/>
    </xf>
    <xf numFmtId="169" fontId="4" fillId="0" borderId="6" xfId="22" applyNumberFormat="1" applyAlignment="1">
      <alignment horizontal="center" vertical="center"/>
      <protection locked="0"/>
    </xf>
    <xf numFmtId="199" fontId="4" fillId="20" borderId="6" xfId="22" applyNumberFormat="1" applyFill="1" applyAlignment="1">
      <alignment horizontal="center" vertical="center"/>
      <protection locked="0"/>
    </xf>
    <xf numFmtId="199" fontId="4" fillId="0" borderId="6" xfId="22" applyNumberFormat="1" applyAlignment="1">
      <alignment horizontal="center" vertical="center"/>
      <protection locked="0"/>
    </xf>
    <xf numFmtId="3" fontId="4" fillId="5" borderId="0" xfId="23" applyNumberFormat="1">
      <alignment vertical="center"/>
    </xf>
    <xf numFmtId="3" fontId="4" fillId="0" borderId="6" xfId="22" applyNumberFormat="1">
      <alignment vertical="center"/>
      <protection locked="0"/>
    </xf>
    <xf numFmtId="189" fontId="4" fillId="5" borderId="0" xfId="23" applyNumberFormat="1" applyAlignment="1">
      <alignment vertical="center"/>
    </xf>
    <xf numFmtId="203" fontId="4" fillId="0" borderId="6" xfId="22" applyNumberFormat="1">
      <alignment vertical="center"/>
      <protection locked="0"/>
    </xf>
    <xf numFmtId="3" fontId="4" fillId="15" borderId="10" xfId="59" applyNumberFormat="1" applyFill="1">
      <alignment vertical="center"/>
      <protection locked="0"/>
    </xf>
    <xf numFmtId="0" fontId="40" fillId="0" borderId="0" xfId="0" applyFont="1">
      <alignment vertical="center"/>
    </xf>
    <xf numFmtId="0" fontId="0" fillId="0" borderId="6" xfId="22" applyFont="1">
      <alignment vertical="center"/>
      <protection locked="0"/>
    </xf>
    <xf numFmtId="0" fontId="4" fillId="14" borderId="0" xfId="22" applyFill="1" applyBorder="1" applyProtection="1">
      <alignment vertical="center"/>
    </xf>
    <xf numFmtId="3" fontId="7" fillId="8" borderId="0" xfId="4" applyNumberFormat="1">
      <alignment vertical="center"/>
    </xf>
    <xf numFmtId="10" fontId="4" fillId="0" borderId="24" xfId="3" applyNumberFormat="1" applyBorder="1" applyAlignment="1">
      <alignment vertical="center"/>
    </xf>
    <xf numFmtId="10" fontId="4" fillId="5" borderId="0" xfId="23" applyNumberFormat="1" applyAlignment="1">
      <alignment vertical="center"/>
    </xf>
    <xf numFmtId="9" fontId="4" fillId="5" borderId="0" xfId="23" applyNumberFormat="1" applyAlignment="1">
      <alignment vertical="center"/>
    </xf>
    <xf numFmtId="1" fontId="4" fillId="5" borderId="0" xfId="23" applyNumberFormat="1">
      <alignment vertical="center"/>
    </xf>
    <xf numFmtId="9" fontId="4" fillId="19" borderId="0" xfId="3" applyFill="1" applyAlignment="1">
      <alignment vertical="center"/>
    </xf>
    <xf numFmtId="3" fontId="4" fillId="8" borderId="0" xfId="4" applyNumberFormat="1" applyFont="1">
      <alignment vertical="center"/>
    </xf>
    <xf numFmtId="204" fontId="7" fillId="8" borderId="0" xfId="4" applyNumberFormat="1" applyAlignment="1">
      <alignment vertical="center"/>
    </xf>
    <xf numFmtId="10" fontId="4" fillId="0" borderId="6" xfId="22" applyNumberFormat="1" applyAlignment="1">
      <alignment vertical="center"/>
      <protection locked="0"/>
    </xf>
    <xf numFmtId="203" fontId="13" fillId="0" borderId="6" xfId="22" applyNumberFormat="1" applyFont="1">
      <alignment vertical="center"/>
      <protection locked="0"/>
    </xf>
    <xf numFmtId="3" fontId="4" fillId="14" borderId="6" xfId="22" applyNumberFormat="1" applyFill="1">
      <alignment vertical="center"/>
      <protection locked="0"/>
    </xf>
    <xf numFmtId="197" fontId="0" fillId="0" borderId="0" xfId="0" applyNumberFormat="1">
      <alignment vertical="center"/>
    </xf>
    <xf numFmtId="190" fontId="0" fillId="0" borderId="0" xfId="0" applyNumberFormat="1">
      <alignment vertical="center"/>
    </xf>
    <xf numFmtId="4" fontId="21" fillId="0" borderId="0" xfId="0" applyNumberFormat="1" applyFont="1">
      <alignment vertical="center"/>
    </xf>
    <xf numFmtId="170" fontId="0" fillId="0" borderId="0" xfId="2" applyFont="1" applyAlignment="1">
      <alignment vertical="center"/>
    </xf>
    <xf numFmtId="194" fontId="0" fillId="0" borderId="0" xfId="0" applyNumberFormat="1">
      <alignment vertical="center"/>
    </xf>
    <xf numFmtId="192" fontId="0" fillId="0" borderId="0" xfId="0" applyNumberFormat="1">
      <alignment vertical="center"/>
    </xf>
    <xf numFmtId="9" fontId="0" fillId="14" borderId="0" xfId="3" applyFont="1" applyFill="1" applyAlignment="1">
      <alignment vertical="center"/>
    </xf>
    <xf numFmtId="204" fontId="4" fillId="0" borderId="6" xfId="22" applyNumberFormat="1" applyAlignment="1">
      <alignment vertical="center"/>
      <protection locked="0"/>
    </xf>
    <xf numFmtId="0" fontId="14" fillId="7" borderId="0" xfId="25" applyAlignment="1">
      <alignment horizontal="center" vertical="top" wrapText="1"/>
    </xf>
    <xf numFmtId="0" fontId="17" fillId="9" borderId="27" xfId="28" applyBorder="1">
      <alignment horizontal="center" vertical="top" wrapText="1"/>
    </xf>
    <xf numFmtId="0" fontId="7" fillId="14" borderId="0" xfId="27" applyFont="1" applyFill="1" applyAlignment="1">
      <alignment vertical="top" wrapText="1"/>
    </xf>
    <xf numFmtId="197" fontId="4" fillId="0" borderId="6" xfId="1" applyBorder="1" applyAlignment="1" applyProtection="1">
      <alignment horizontal="center" vertical="center"/>
      <protection locked="0"/>
    </xf>
    <xf numFmtId="2" fontId="0" fillId="5" borderId="0" xfId="23" applyNumberFormat="1" applyFont="1">
      <alignment vertical="center"/>
    </xf>
    <xf numFmtId="0" fontId="9" fillId="0" borderId="0" xfId="20" applyFont="1" applyBorder="1">
      <alignment vertical="center"/>
      <protection locked="0"/>
    </xf>
    <xf numFmtId="197" fontId="7" fillId="21" borderId="0" xfId="1" applyFont="1" applyFill="1" applyAlignment="1">
      <alignment vertical="center"/>
    </xf>
    <xf numFmtId="0" fontId="7" fillId="0" borderId="5" xfId="20" applyFont="1" applyAlignment="1">
      <alignment horizontal="center" vertical="center"/>
      <protection locked="0"/>
    </xf>
    <xf numFmtId="0" fontId="0" fillId="22" borderId="6" xfId="22" applyFont="1" applyFill="1" applyAlignment="1">
      <alignment horizontal="center" vertical="center"/>
      <protection locked="0"/>
    </xf>
    <xf numFmtId="197" fontId="7" fillId="21" borderId="0" xfId="1" applyFont="1" applyFill="1" applyAlignment="1">
      <alignment horizontal="center" vertical="center"/>
    </xf>
    <xf numFmtId="10" fontId="4" fillId="0" borderId="28" xfId="3" applyNumberFormat="1" applyBorder="1" applyAlignment="1">
      <alignment vertical="center"/>
    </xf>
    <xf numFmtId="10" fontId="4" fillId="0" borderId="0" xfId="3" applyNumberFormat="1" applyBorder="1" applyAlignment="1">
      <alignment vertical="center"/>
    </xf>
    <xf numFmtId="0" fontId="17" fillId="11" borderId="12" xfId="54" applyBorder="1">
      <alignment horizontal="centerContinuous" vertical="top"/>
    </xf>
    <xf numFmtId="0" fontId="17" fillId="9" borderId="15" xfId="28" applyBorder="1">
      <alignment horizontal="center" vertical="top" wrapText="1"/>
    </xf>
    <xf numFmtId="0" fontId="4" fillId="0" borderId="0" xfId="22" applyBorder="1" applyAlignment="1">
      <alignment horizontal="left" vertical="center"/>
      <protection locked="0"/>
    </xf>
    <xf numFmtId="9" fontId="3" fillId="14" borderId="0" xfId="9" applyNumberFormat="1" applyFill="1" applyAlignment="1">
      <alignment vertical="center"/>
    </xf>
    <xf numFmtId="2" fontId="7" fillId="21" borderId="0" xfId="4" applyNumberFormat="1" applyFill="1" applyAlignment="1">
      <alignment horizontal="center" vertical="center"/>
    </xf>
    <xf numFmtId="10" fontId="4" fillId="0" borderId="24" xfId="3" applyNumberFormat="1" applyFill="1" applyBorder="1" applyAlignment="1">
      <alignment vertical="center"/>
    </xf>
    <xf numFmtId="3" fontId="4" fillId="0" borderId="24" xfId="3" applyNumberFormat="1" applyBorder="1" applyAlignment="1">
      <alignment vertical="center"/>
    </xf>
    <xf numFmtId="0" fontId="0" fillId="0" borderId="0" xfId="22" applyFont="1" applyFill="1" applyBorder="1" applyAlignment="1">
      <alignment horizontal="left" vertical="center"/>
      <protection locked="0"/>
    </xf>
    <xf numFmtId="9" fontId="1" fillId="0" borderId="0" xfId="9" applyNumberFormat="1" applyFont="1" applyFill="1" applyAlignment="1">
      <alignment vertical="center"/>
    </xf>
    <xf numFmtId="0" fontId="7" fillId="0" borderId="7" xfId="56" applyNumberFormat="1" applyFill="1" applyBorder="1" applyProtection="1">
      <alignment vertical="center"/>
      <protection locked="0"/>
    </xf>
    <xf numFmtId="0" fontId="7" fillId="0" borderId="7" xfId="56" applyNumberFormat="1" applyFill="1" applyBorder="1" applyAlignment="1" applyProtection="1">
      <alignment horizontal="center" vertical="center"/>
      <protection locked="0"/>
    </xf>
    <xf numFmtId="0" fontId="7" fillId="0" borderId="7" xfId="56" applyNumberFormat="1" applyFill="1" applyBorder="1">
      <alignment vertical="center"/>
    </xf>
    <xf numFmtId="204" fontId="7" fillId="12" borderId="0" xfId="57" applyNumberFormat="1" applyProtection="1">
      <alignment vertical="center"/>
      <protection locked="0"/>
    </xf>
    <xf numFmtId="204" fontId="7" fillId="0" borderId="7" xfId="56" applyNumberFormat="1" applyFill="1" applyBorder="1" applyProtection="1">
      <alignment vertical="center"/>
      <protection locked="0"/>
    </xf>
    <xf numFmtId="205" fontId="0" fillId="0" borderId="0" xfId="3" applyNumberFormat="1" applyFont="1" applyBorder="1" applyAlignment="1">
      <alignment vertical="center"/>
    </xf>
    <xf numFmtId="204" fontId="7" fillId="0" borderId="0" xfId="3" applyNumberFormat="1" applyFont="1" applyBorder="1" applyAlignment="1" applyProtection="1">
      <alignment vertical="center"/>
      <protection locked="0"/>
    </xf>
    <xf numFmtId="0" fontId="17" fillId="18" borderId="0" xfId="28" applyFill="1">
      <alignment horizontal="center" vertical="top" wrapText="1"/>
    </xf>
    <xf numFmtId="204" fontId="4" fillId="0" borderId="0" xfId="3" applyNumberFormat="1" applyBorder="1" applyAlignment="1">
      <alignment vertical="center"/>
    </xf>
    <xf numFmtId="2" fontId="42" fillId="4" borderId="6" xfId="21" applyNumberFormat="1" applyFont="1">
      <alignment vertical="center"/>
      <protection locked="0"/>
    </xf>
    <xf numFmtId="0" fontId="43" fillId="0" borderId="0" xfId="58" applyFont="1" applyFill="1">
      <alignment vertical="center"/>
    </xf>
    <xf numFmtId="0" fontId="8" fillId="10" borderId="0" xfId="66" applyFont="1">
      <alignment vertical="center"/>
    </xf>
    <xf numFmtId="0" fontId="4" fillId="10" borderId="0" xfId="66" applyFont="1">
      <alignment vertical="center"/>
    </xf>
    <xf numFmtId="0" fontId="44" fillId="0" borderId="10" xfId="59" applyFont="1">
      <alignment vertical="center"/>
      <protection locked="0"/>
    </xf>
    <xf numFmtId="0" fontId="17" fillId="24" borderId="30" xfId="67" applyFill="1" applyBorder="1" applyAlignment="1">
      <alignment horizontal="left" vertical="center"/>
    </xf>
    <xf numFmtId="0" fontId="17" fillId="24" borderId="0" xfId="67" applyFill="1" applyAlignment="1">
      <alignment vertical="center"/>
    </xf>
    <xf numFmtId="0" fontId="17" fillId="25" borderId="0" xfId="68">
      <alignment horizontal="center" vertical="top" wrapText="1"/>
    </xf>
    <xf numFmtId="0" fontId="17" fillId="25" borderId="19" xfId="68" applyBorder="1">
      <alignment horizontal="center" vertical="top" wrapText="1"/>
    </xf>
    <xf numFmtId="0" fontId="17" fillId="25" borderId="31" xfId="68" applyBorder="1" applyAlignment="1">
      <alignment horizontal="center" vertical="center" wrapText="1"/>
    </xf>
    <xf numFmtId="0" fontId="17" fillId="25" borderId="32" xfId="68" applyBorder="1" applyAlignment="1">
      <alignment horizontal="center" vertical="center" wrapText="1"/>
    </xf>
    <xf numFmtId="0" fontId="17" fillId="25" borderId="33" xfId="68" applyBorder="1" applyAlignment="1">
      <alignment horizontal="center" vertical="center" wrapText="1"/>
    </xf>
    <xf numFmtId="0" fontId="17" fillId="25" borderId="34" xfId="68" applyBorder="1" applyAlignment="1">
      <alignment horizontal="center" vertical="center" wrapText="1"/>
    </xf>
    <xf numFmtId="0" fontId="17" fillId="25" borderId="35" xfId="68" applyBorder="1" applyAlignment="1">
      <alignment horizontal="center" vertical="center" wrapText="1"/>
    </xf>
    <xf numFmtId="0" fontId="45" fillId="0" borderId="0" xfId="0" applyFont="1" applyAlignment="1"/>
    <xf numFmtId="0" fontId="4" fillId="0" borderId="4" xfId="69" applyAlignment="1">
      <alignment horizontal="center" vertical="center"/>
      <protection locked="0"/>
    </xf>
    <xf numFmtId="1" fontId="4" fillId="0" borderId="36" xfId="59" applyNumberFormat="1" applyBorder="1">
      <alignment vertical="center"/>
      <protection locked="0"/>
    </xf>
    <xf numFmtId="0" fontId="28" fillId="26" borderId="10" xfId="59" applyFont="1" applyFill="1" applyAlignment="1">
      <alignment horizontal="center" vertical="center"/>
      <protection locked="0"/>
    </xf>
    <xf numFmtId="0" fontId="0" fillId="0" borderId="36" xfId="59" applyFont="1" applyBorder="1">
      <alignment vertical="center"/>
      <protection locked="0"/>
    </xf>
    <xf numFmtId="0" fontId="0" fillId="0" borderId="37" xfId="59" applyFont="1" applyBorder="1">
      <alignment vertical="center"/>
      <protection locked="0"/>
    </xf>
    <xf numFmtId="1" fontId="4" fillId="0" borderId="10" xfId="59" applyNumberFormat="1">
      <alignment vertical="center"/>
      <protection locked="0"/>
    </xf>
    <xf numFmtId="0" fontId="17" fillId="25" borderId="38" xfId="68" applyBorder="1">
      <alignment horizontal="center" vertical="top" wrapText="1"/>
    </xf>
    <xf numFmtId="0" fontId="17" fillId="25" borderId="15" xfId="68" applyBorder="1" applyAlignment="1">
      <alignment horizontal="center" vertical="center" wrapText="1"/>
    </xf>
    <xf numFmtId="0" fontId="17" fillId="25" borderId="27" xfId="68" applyBorder="1" applyAlignment="1">
      <alignment horizontal="center" vertical="center" wrapText="1"/>
    </xf>
    <xf numFmtId="0" fontId="4" fillId="0" borderId="36" xfId="59" applyBorder="1">
      <alignment vertical="center"/>
      <protection locked="0"/>
    </xf>
    <xf numFmtId="0" fontId="14" fillId="14" borderId="0" xfId="0" applyFont="1" applyFill="1" applyAlignment="1">
      <alignment horizontal="center" vertical="center"/>
    </xf>
    <xf numFmtId="0" fontId="17" fillId="25" borderId="41" xfId="68" applyBorder="1">
      <alignment horizontal="center" vertical="top" wrapText="1"/>
    </xf>
    <xf numFmtId="0" fontId="17" fillId="25" borderId="42" xfId="68" applyBorder="1">
      <alignment horizontal="center" vertical="top" wrapText="1"/>
    </xf>
    <xf numFmtId="0" fontId="47" fillId="0" borderId="43" xfId="14" applyFont="1" applyBorder="1" applyAlignment="1">
      <alignment vertical="center"/>
    </xf>
    <xf numFmtId="0" fontId="0" fillId="0" borderId="44" xfId="0" applyBorder="1">
      <alignment vertical="center"/>
    </xf>
    <xf numFmtId="0" fontId="0" fillId="0" borderId="45" xfId="0" applyBorder="1">
      <alignment vertical="center"/>
    </xf>
    <xf numFmtId="0" fontId="48" fillId="14" borderId="0" xfId="70" applyNumberFormat="1" applyFont="1" applyFill="1" applyAlignment="1">
      <alignment vertical="center"/>
    </xf>
    <xf numFmtId="0" fontId="0" fillId="0" borderId="46" xfId="0" applyBorder="1">
      <alignment vertical="center"/>
    </xf>
    <xf numFmtId="0" fontId="49" fillId="14" borderId="0" xfId="0" applyFont="1" applyFill="1">
      <alignment vertical="center"/>
    </xf>
    <xf numFmtId="0" fontId="50" fillId="14" borderId="0" xfId="0" applyFont="1" applyFill="1">
      <alignment vertical="center"/>
    </xf>
    <xf numFmtId="0" fontId="51" fillId="28" borderId="47" xfId="70" applyNumberFormat="1" applyFont="1" applyBorder="1" applyAlignment="1">
      <alignment vertical="center"/>
    </xf>
    <xf numFmtId="0" fontId="51" fillId="28" borderId="48" xfId="70" applyNumberFormat="1" applyFont="1" applyBorder="1" applyAlignment="1">
      <alignment vertical="center"/>
    </xf>
    <xf numFmtId="0" fontId="48" fillId="14" borderId="49" xfId="14" applyFont="1" applyFill="1" applyBorder="1" applyAlignment="1">
      <alignment vertical="center"/>
    </xf>
    <xf numFmtId="0" fontId="52" fillId="23" borderId="50" xfId="70" applyNumberFormat="1" applyFont="1" applyFill="1" applyBorder="1" applyAlignment="1">
      <alignment vertical="center"/>
    </xf>
    <xf numFmtId="0" fontId="52" fillId="23" borderId="51" xfId="70" applyNumberFormat="1" applyFont="1" applyFill="1" applyBorder="1" applyAlignment="1">
      <alignment vertical="center"/>
    </xf>
    <xf numFmtId="0" fontId="53" fillId="23" borderId="50" xfId="70" applyNumberFormat="1" applyFont="1" applyFill="1" applyBorder="1" applyAlignment="1">
      <alignment vertical="center" wrapText="1"/>
    </xf>
    <xf numFmtId="0" fontId="53" fillId="23" borderId="51" xfId="70" applyNumberFormat="1" applyFont="1" applyFill="1" applyBorder="1" applyAlignment="1">
      <alignment vertical="center" wrapText="1"/>
    </xf>
    <xf numFmtId="0" fontId="53" fillId="23" borderId="52" xfId="70" applyNumberFormat="1" applyFont="1" applyFill="1" applyBorder="1" applyAlignment="1">
      <alignment vertical="center" wrapText="1"/>
    </xf>
    <xf numFmtId="0" fontId="45" fillId="0" borderId="0" xfId="0" applyFont="1" applyAlignment="1">
      <alignment horizontal="center" vertical="center"/>
    </xf>
    <xf numFmtId="0" fontId="17" fillId="25" borderId="0" xfId="68" applyAlignment="1">
      <alignment horizontal="center" vertical="center" wrapText="1"/>
    </xf>
    <xf numFmtId="0" fontId="17" fillId="25" borderId="57" xfId="68" applyBorder="1" applyAlignment="1">
      <alignment horizontal="center" vertical="center" wrapText="1"/>
    </xf>
    <xf numFmtId="0" fontId="17" fillId="25" borderId="58" xfId="68" applyBorder="1" applyAlignment="1">
      <alignment horizontal="center" vertical="center" wrapText="1"/>
    </xf>
    <xf numFmtId="0" fontId="17" fillId="25" borderId="23" xfId="68" applyBorder="1" applyAlignment="1">
      <alignment horizontal="center" vertical="center" wrapText="1"/>
    </xf>
    <xf numFmtId="0" fontId="17" fillId="25" borderId="59" xfId="68" applyBorder="1" applyAlignment="1">
      <alignment horizontal="center" vertical="center" wrapText="1"/>
    </xf>
    <xf numFmtId="0" fontId="17" fillId="25" borderId="60" xfId="68" applyBorder="1" applyAlignment="1">
      <alignment horizontal="center" vertical="center" wrapText="1"/>
    </xf>
    <xf numFmtId="0" fontId="17" fillId="25" borderId="61" xfId="68" applyBorder="1" applyAlignment="1">
      <alignment vertical="center" wrapText="1"/>
    </xf>
    <xf numFmtId="0" fontId="17" fillId="25" borderId="61" xfId="68" applyBorder="1" applyAlignment="1">
      <alignment horizontal="center" vertical="center" wrapText="1"/>
    </xf>
    <xf numFmtId="0" fontId="4" fillId="0" borderId="10" xfId="59" applyAlignment="1">
      <alignment horizontal="center" vertical="center"/>
      <protection locked="0"/>
    </xf>
    <xf numFmtId="0" fontId="17" fillId="18" borderId="0" xfId="68" applyFill="1" applyAlignment="1">
      <alignment vertical="center" wrapText="1"/>
    </xf>
    <xf numFmtId="0" fontId="31" fillId="11" borderId="0" xfId="0" applyFont="1" applyFill="1" applyAlignment="1">
      <alignment horizontal="center" wrapText="1"/>
    </xf>
    <xf numFmtId="0" fontId="9" fillId="14" borderId="0" xfId="0" applyFont="1" applyFill="1">
      <alignment vertical="center"/>
    </xf>
    <xf numFmtId="0" fontId="17" fillId="25" borderId="40" xfId="68" applyBorder="1">
      <alignment horizontal="center" vertical="top" wrapText="1"/>
    </xf>
    <xf numFmtId="0" fontId="17" fillId="25" borderId="13" xfId="68" applyBorder="1">
      <alignment horizontal="center" vertical="top" wrapText="1"/>
    </xf>
    <xf numFmtId="0" fontId="17" fillId="25" borderId="65" xfId="68" applyBorder="1" applyAlignment="1">
      <alignment horizontal="center" vertical="center" wrapText="1"/>
    </xf>
    <xf numFmtId="0" fontId="17" fillId="25" borderId="66" xfId="68" applyBorder="1" applyAlignment="1">
      <alignment horizontal="center" vertical="center" wrapText="1"/>
    </xf>
    <xf numFmtId="0" fontId="4" fillId="15" borderId="10" xfId="59" applyFill="1">
      <alignment vertical="center"/>
      <protection locked="0"/>
    </xf>
    <xf numFmtId="189" fontId="4" fillId="0" borderId="10" xfId="3" applyNumberFormat="1" applyBorder="1" applyAlignment="1" applyProtection="1">
      <alignment vertical="center"/>
      <protection locked="0"/>
    </xf>
    <xf numFmtId="0" fontId="17" fillId="25" borderId="57" xfId="68" applyBorder="1">
      <alignment horizontal="center" vertical="top" wrapText="1"/>
    </xf>
    <xf numFmtId="0" fontId="17" fillId="25" borderId="31" xfId="68" applyBorder="1">
      <alignment horizontal="center" vertical="top" wrapText="1"/>
    </xf>
    <xf numFmtId="0" fontId="4" fillId="15" borderId="36" xfId="59" applyFill="1" applyBorder="1">
      <alignment vertical="center"/>
      <protection locked="0"/>
    </xf>
    <xf numFmtId="0" fontId="4" fillId="0" borderId="0" xfId="52" applyFont="1" applyAlignment="1">
      <alignment vertical="center"/>
    </xf>
    <xf numFmtId="0" fontId="8" fillId="0" borderId="43" xfId="14" applyBorder="1" applyAlignment="1">
      <alignment vertical="center"/>
    </xf>
    <xf numFmtId="0" fontId="7" fillId="28" borderId="43" xfId="14" applyFont="1" applyFill="1" applyBorder="1" applyAlignment="1">
      <alignment vertical="center"/>
    </xf>
    <xf numFmtId="0" fontId="7" fillId="28" borderId="62" xfId="14" applyFont="1" applyFill="1" applyBorder="1" applyAlignment="1">
      <alignment vertical="center" wrapText="1"/>
    </xf>
    <xf numFmtId="0" fontId="7" fillId="28" borderId="62" xfId="14" applyFont="1" applyFill="1" applyBorder="1" applyAlignment="1">
      <alignment horizontal="center" vertical="center" wrapText="1"/>
    </xf>
    <xf numFmtId="0" fontId="17" fillId="25" borderId="68" xfId="68" applyBorder="1">
      <alignment horizontal="center" vertical="top" wrapText="1"/>
    </xf>
    <xf numFmtId="0" fontId="4" fillId="0" borderId="10" xfId="59" applyAlignment="1">
      <alignment vertical="center"/>
      <protection locked="0"/>
    </xf>
    <xf numFmtId="0" fontId="4" fillId="15" borderId="10" xfId="59" applyFill="1" applyAlignment="1">
      <alignment vertical="center"/>
      <protection locked="0"/>
    </xf>
    <xf numFmtId="0" fontId="7" fillId="30" borderId="43" xfId="14" applyFont="1" applyFill="1" applyBorder="1" applyAlignment="1">
      <alignment vertical="center"/>
    </xf>
    <xf numFmtId="0" fontId="7" fillId="30" borderId="62" xfId="14" applyFont="1" applyFill="1" applyBorder="1" applyAlignment="1">
      <alignment vertical="center" wrapText="1"/>
    </xf>
    <xf numFmtId="0" fontId="7" fillId="30" borderId="62" xfId="14" applyFont="1" applyFill="1" applyBorder="1" applyAlignment="1">
      <alignment horizontal="center" vertical="center" wrapText="1"/>
    </xf>
    <xf numFmtId="0" fontId="7" fillId="31" borderId="43" xfId="14" applyFont="1" applyFill="1" applyBorder="1" applyAlignment="1">
      <alignment vertical="center" wrapText="1"/>
    </xf>
    <xf numFmtId="0" fontId="7" fillId="31" borderId="43" xfId="14" applyFont="1" applyFill="1" applyBorder="1" applyAlignment="1">
      <alignment vertical="center"/>
    </xf>
    <xf numFmtId="0" fontId="7" fillId="31" borderId="62" xfId="14" applyFont="1" applyFill="1" applyBorder="1" applyAlignment="1">
      <alignment vertical="center" wrapText="1"/>
    </xf>
    <xf numFmtId="0" fontId="7" fillId="31" borderId="62" xfId="14" applyFont="1" applyFill="1" applyBorder="1" applyAlignment="1">
      <alignment horizontal="center" vertical="center" wrapText="1"/>
    </xf>
    <xf numFmtId="0" fontId="7" fillId="31" borderId="62" xfId="14" applyFont="1" applyFill="1" applyBorder="1" applyAlignment="1">
      <alignment vertical="center"/>
    </xf>
    <xf numFmtId="0" fontId="17" fillId="25" borderId="64" xfId="68" applyBorder="1">
      <alignment horizontal="center" vertical="top" wrapText="1"/>
    </xf>
    <xf numFmtId="2" fontId="17" fillId="9" borderId="0" xfId="28" applyNumberFormat="1">
      <alignment horizontal="center" vertical="top" wrapText="1"/>
    </xf>
    <xf numFmtId="191" fontId="13" fillId="4" borderId="6" xfId="21" applyNumberFormat="1">
      <alignment vertical="center"/>
      <protection locked="0"/>
    </xf>
    <xf numFmtId="0" fontId="42" fillId="4" borderId="6" xfId="21" applyNumberFormat="1" applyFont="1">
      <alignment vertical="center"/>
      <protection locked="0"/>
    </xf>
    <xf numFmtId="204" fontId="44" fillId="4" borderId="6" xfId="3" applyNumberFormat="1" applyFont="1" applyFill="1" applyBorder="1" applyAlignment="1" applyProtection="1">
      <alignment horizontal="center" vertical="center"/>
      <protection locked="0"/>
    </xf>
    <xf numFmtId="2" fontId="44" fillId="4" borderId="6" xfId="21" applyNumberFormat="1" applyFont="1" applyAlignment="1">
      <alignment horizontal="center" vertical="center"/>
      <protection locked="0"/>
    </xf>
    <xf numFmtId="0" fontId="4" fillId="26" borderId="36" xfId="59" applyFill="1" applyBorder="1" applyAlignment="1">
      <alignment horizontal="center" vertical="center"/>
      <protection locked="0"/>
    </xf>
    <xf numFmtId="0" fontId="4" fillId="26" borderId="10" xfId="59" applyFill="1" applyAlignment="1">
      <alignment horizontal="center" vertical="center"/>
      <protection locked="0"/>
    </xf>
    <xf numFmtId="206" fontId="4" fillId="15" borderId="10" xfId="1" applyNumberFormat="1" applyFill="1" applyBorder="1" applyAlignment="1" applyProtection="1">
      <alignment vertical="center"/>
      <protection locked="0"/>
    </xf>
    <xf numFmtId="206" fontId="4" fillId="15" borderId="36" xfId="1" applyNumberFormat="1" applyFill="1" applyBorder="1" applyAlignment="1" applyProtection="1">
      <alignment vertical="center"/>
      <protection locked="0"/>
    </xf>
    <xf numFmtId="198" fontId="13" fillId="4" borderId="6" xfId="21" applyNumberFormat="1" applyAlignment="1">
      <alignment horizontal="center" vertical="center"/>
      <protection locked="0"/>
    </xf>
    <xf numFmtId="0" fontId="0" fillId="14" borderId="0" xfId="0" applyFill="1" applyAlignment="1">
      <alignment horizontal="left" vertical="top" wrapText="1"/>
    </xf>
    <xf numFmtId="0" fontId="0" fillId="14" borderId="0" xfId="0" applyFill="1" applyAlignment="1">
      <alignment horizontal="left" vertical="center" wrapText="1"/>
    </xf>
    <xf numFmtId="0" fontId="0" fillId="14" borderId="0" xfId="0" applyFill="1" applyAlignment="1">
      <alignment horizontal="center" vertical="center" wrapText="1"/>
    </xf>
    <xf numFmtId="0" fontId="7" fillId="12" borderId="0" xfId="57" applyNumberFormat="1" applyAlignment="1">
      <alignment horizontal="center" vertical="center" wrapText="1"/>
    </xf>
    <xf numFmtId="0" fontId="7" fillId="12" borderId="0" xfId="57" applyNumberFormat="1" applyAlignment="1">
      <alignment horizontal="center" vertical="top" wrapText="1"/>
    </xf>
    <xf numFmtId="0" fontId="17" fillId="9" borderId="0" xfId="28">
      <alignment horizontal="center" vertical="top" wrapText="1"/>
    </xf>
    <xf numFmtId="0" fontId="17" fillId="9" borderId="0" xfId="28" applyAlignment="1">
      <alignment horizontal="left" vertical="center" wrapText="1"/>
    </xf>
    <xf numFmtId="0" fontId="17" fillId="9" borderId="0" xfId="28" applyNumberFormat="1">
      <alignment horizontal="center" vertical="top" wrapText="1"/>
    </xf>
    <xf numFmtId="0" fontId="48" fillId="14" borderId="49" xfId="14" applyFont="1" applyFill="1" applyBorder="1" applyAlignment="1">
      <alignment horizontal="left" vertical="top"/>
    </xf>
    <xf numFmtId="0" fontId="53" fillId="23" borderId="50" xfId="70" applyNumberFormat="1" applyFont="1" applyFill="1" applyBorder="1" applyAlignment="1">
      <alignment horizontal="center" vertical="center"/>
    </xf>
    <xf numFmtId="0" fontId="53" fillId="23" borderId="51" xfId="70" applyNumberFormat="1" applyFont="1" applyFill="1" applyBorder="1" applyAlignment="1">
      <alignment horizontal="center" vertical="center"/>
    </xf>
    <xf numFmtId="0" fontId="9" fillId="0" borderId="0" xfId="0" applyFont="1" applyAlignment="1">
      <alignment horizontal="left" vertical="center" wrapText="1"/>
    </xf>
    <xf numFmtId="0" fontId="9" fillId="0" borderId="29" xfId="0" applyFont="1" applyBorder="1" applyAlignment="1">
      <alignment horizontal="left" vertical="center" wrapText="1"/>
    </xf>
    <xf numFmtId="0" fontId="17" fillId="27" borderId="13" xfId="67" applyFill="1" applyBorder="1" applyAlignment="1">
      <alignment horizontal="center" vertical="top"/>
    </xf>
    <xf numFmtId="0" fontId="17" fillId="27" borderId="39" xfId="67" applyFill="1" applyBorder="1" applyAlignment="1">
      <alignment horizontal="center" vertical="top"/>
    </xf>
    <xf numFmtId="0" fontId="17" fillId="27" borderId="40" xfId="67" applyFill="1" applyBorder="1" applyAlignment="1">
      <alignment horizontal="center" vertical="top"/>
    </xf>
    <xf numFmtId="0" fontId="53" fillId="23" borderId="52" xfId="70" applyNumberFormat="1" applyFont="1" applyFill="1" applyBorder="1" applyAlignment="1">
      <alignment horizontal="center" vertical="center"/>
    </xf>
    <xf numFmtId="0" fontId="52" fillId="23" borderId="50" xfId="70" applyNumberFormat="1" applyFont="1" applyFill="1" applyBorder="1" applyAlignment="1">
      <alignment horizontal="center" vertical="center"/>
    </xf>
    <xf numFmtId="0" fontId="52" fillId="23" borderId="51" xfId="70" applyNumberFormat="1" applyFont="1" applyFill="1" applyBorder="1" applyAlignment="1">
      <alignment horizontal="center" vertical="center"/>
    </xf>
    <xf numFmtId="0" fontId="48" fillId="30" borderId="43" xfId="14" applyFont="1" applyFill="1" applyBorder="1" applyAlignment="1">
      <alignment horizontal="left" vertical="center"/>
    </xf>
    <xf numFmtId="0" fontId="48" fillId="30" borderId="44" xfId="14" applyFont="1" applyFill="1" applyBorder="1" applyAlignment="1">
      <alignment horizontal="left" vertical="center"/>
    </xf>
    <xf numFmtId="0" fontId="48" fillId="30" borderId="45" xfId="14" applyFont="1" applyFill="1" applyBorder="1" applyAlignment="1">
      <alignment horizontal="left" vertical="center"/>
    </xf>
    <xf numFmtId="0" fontId="48" fillId="31" borderId="43" xfId="14" applyFont="1" applyFill="1" applyBorder="1" applyAlignment="1">
      <alignment horizontal="left" vertical="center"/>
    </xf>
    <xf numFmtId="0" fontId="48" fillId="31" borderId="44" xfId="14" applyFont="1" applyFill="1" applyBorder="1" applyAlignment="1">
      <alignment horizontal="left" vertical="center"/>
    </xf>
    <xf numFmtId="0" fontId="31" fillId="11" borderId="62" xfId="0" applyFont="1" applyFill="1" applyBorder="1" applyAlignment="1">
      <alignment horizontal="center"/>
    </xf>
    <xf numFmtId="0" fontId="54" fillId="25" borderId="53" xfId="68" applyFont="1" applyBorder="1" applyAlignment="1">
      <alignment horizontal="center" vertical="center" wrapText="1"/>
    </xf>
    <xf numFmtId="0" fontId="54" fillId="25" borderId="54" xfId="68" applyFont="1" applyBorder="1" applyAlignment="1">
      <alignment horizontal="center" vertical="center" wrapText="1"/>
    </xf>
    <xf numFmtId="0" fontId="55" fillId="29" borderId="55" xfId="68" applyFont="1" applyFill="1" applyBorder="1" applyAlignment="1">
      <alignment horizontal="left" vertical="center" wrapText="1"/>
    </xf>
    <xf numFmtId="0" fontId="55" fillId="29" borderId="56" xfId="68" applyFont="1" applyFill="1" applyBorder="1" applyAlignment="1">
      <alignment horizontal="left" vertical="center" wrapText="1"/>
    </xf>
    <xf numFmtId="0" fontId="7" fillId="28" borderId="67" xfId="70" applyNumberFormat="1" applyBorder="1" applyAlignment="1">
      <alignment horizontal="center" vertical="center"/>
    </xf>
    <xf numFmtId="0" fontId="17" fillId="25" borderId="0" xfId="68" applyAlignment="1">
      <alignment horizontal="center" vertical="center" wrapText="1"/>
    </xf>
    <xf numFmtId="0" fontId="17" fillId="25" borderId="64" xfId="68" applyBorder="1" applyAlignment="1">
      <alignment horizontal="center" vertical="center" wrapText="1"/>
    </xf>
    <xf numFmtId="0" fontId="17" fillId="25" borderId="38" xfId="68" applyBorder="1" applyAlignment="1">
      <alignment horizontal="center" vertical="center" wrapText="1"/>
    </xf>
    <xf numFmtId="0" fontId="17" fillId="25" borderId="40" xfId="68" applyBorder="1">
      <alignment horizontal="center" vertical="top" wrapText="1"/>
    </xf>
    <xf numFmtId="0" fontId="17" fillId="25" borderId="13" xfId="68" applyBorder="1">
      <alignment horizontal="center" vertical="top" wrapText="1"/>
    </xf>
    <xf numFmtId="0" fontId="17" fillId="25" borderId="39" xfId="68" applyBorder="1">
      <alignment horizontal="center" vertical="top" wrapText="1"/>
    </xf>
    <xf numFmtId="0" fontId="17" fillId="25" borderId="63" xfId="68" applyBorder="1">
      <alignment horizontal="center" vertical="top" wrapText="1"/>
    </xf>
    <xf numFmtId="0" fontId="17" fillId="25" borderId="0" xfId="68">
      <alignment horizontal="center" vertical="top" wrapText="1"/>
    </xf>
    <xf numFmtId="0" fontId="7" fillId="31" borderId="43" xfId="14" applyFont="1" applyFill="1" applyBorder="1" applyAlignment="1">
      <alignment horizontal="center" vertical="center"/>
    </xf>
    <xf numFmtId="0" fontId="7" fillId="31" borderId="44" xfId="14" applyFont="1" applyFill="1" applyBorder="1" applyAlignment="1">
      <alignment horizontal="center" vertical="center"/>
    </xf>
    <xf numFmtId="0" fontId="7" fillId="31" borderId="45" xfId="14" applyFont="1" applyFill="1" applyBorder="1" applyAlignment="1">
      <alignment horizontal="center" vertical="center"/>
    </xf>
    <xf numFmtId="0" fontId="7" fillId="28" borderId="43" xfId="14" applyFont="1" applyFill="1" applyBorder="1" applyAlignment="1">
      <alignment horizontal="center" vertical="center"/>
    </xf>
    <xf numFmtId="0" fontId="7" fillId="28" borderId="44" xfId="14" applyFont="1" applyFill="1" applyBorder="1" applyAlignment="1">
      <alignment horizontal="center" vertical="center"/>
    </xf>
    <xf numFmtId="0" fontId="7" fillId="28" borderId="45" xfId="14" applyFont="1" applyFill="1" applyBorder="1" applyAlignment="1">
      <alignment horizontal="center" vertical="center"/>
    </xf>
    <xf numFmtId="0" fontId="7" fillId="28" borderId="62" xfId="14" applyFont="1" applyFill="1" applyBorder="1" applyAlignment="1">
      <alignment horizontal="center" vertical="center"/>
    </xf>
    <xf numFmtId="0" fontId="7" fillId="30" borderId="43" xfId="14" applyFont="1" applyFill="1" applyBorder="1" applyAlignment="1">
      <alignment horizontal="center" vertical="center"/>
    </xf>
    <xf numFmtId="0" fontId="7" fillId="30" borderId="44" xfId="14" applyFont="1" applyFill="1" applyBorder="1" applyAlignment="1">
      <alignment horizontal="center" vertical="center"/>
    </xf>
    <xf numFmtId="0" fontId="7" fillId="30" borderId="45" xfId="14" applyFont="1" applyFill="1" applyBorder="1" applyAlignment="1">
      <alignment horizontal="center" vertical="center"/>
    </xf>
    <xf numFmtId="0" fontId="7" fillId="30" borderId="62" xfId="14" applyFont="1" applyFill="1" applyBorder="1" applyAlignment="1">
      <alignment horizontal="center" vertical="center"/>
    </xf>
    <xf numFmtId="0" fontId="7" fillId="31" borderId="62" xfId="14" applyFont="1" applyFill="1" applyBorder="1" applyAlignment="1">
      <alignment horizontal="center" vertical="center"/>
    </xf>
    <xf numFmtId="0" fontId="7" fillId="31" borderId="62" xfId="14" applyFont="1" applyFill="1" applyBorder="1" applyAlignment="1">
      <alignment horizontal="center" vertical="center" wrapText="1"/>
    </xf>
    <xf numFmtId="2" fontId="17" fillId="9" borderId="0" xfId="28" applyNumberFormat="1">
      <alignment horizontal="center" vertical="top" wrapText="1"/>
    </xf>
    <xf numFmtId="0" fontId="7" fillId="32" borderId="0" xfId="32" applyFont="1" applyFill="1">
      <alignment vertical="center"/>
    </xf>
    <xf numFmtId="0" fontId="0" fillId="32" borderId="0" xfId="32" applyFont="1" applyFill="1">
      <alignment vertical="center"/>
    </xf>
    <xf numFmtId="0" fontId="0" fillId="32" borderId="0" xfId="0" applyFill="1">
      <alignment vertical="center"/>
    </xf>
    <xf numFmtId="0" fontId="52" fillId="10" borderId="0" xfId="66" applyFont="1">
      <alignment vertical="center"/>
    </xf>
    <xf numFmtId="0" fontId="31" fillId="0" borderId="0" xfId="0" applyFont="1">
      <alignment vertical="center"/>
    </xf>
    <xf numFmtId="0" fontId="56" fillId="0" borderId="0" xfId="59" applyFont="1" applyBorder="1">
      <alignment vertical="center"/>
      <protection locked="0"/>
    </xf>
    <xf numFmtId="0" fontId="31" fillId="0" borderId="0" xfId="0" applyFont="1" applyAlignment="1">
      <alignment horizontal="center" vertical="center"/>
    </xf>
    <xf numFmtId="0" fontId="31" fillId="0" borderId="0" xfId="0" applyFont="1" applyAlignment="1"/>
    <xf numFmtId="0" fontId="8" fillId="32" borderId="0" xfId="66" applyFont="1" applyFill="1">
      <alignment vertical="center"/>
    </xf>
    <xf numFmtId="0" fontId="4" fillId="32" borderId="0" xfId="66" applyFont="1" applyFill="1">
      <alignment vertical="center"/>
    </xf>
  </cellXfs>
  <cellStyles count="71">
    <cellStyle name="Cálculo" xfId="5" builtinId="22"/>
    <cellStyle name="Checksum" xfId="26" xr:uid="{CF468BF2-33BC-4537-8B45-84877C03760B}"/>
    <cellStyle name="Column label" xfId="68" xr:uid="{F1477297-B379-4FE9-8836-6F8962E007A3}"/>
    <cellStyle name="Column label (no wrap)" xfId="67" xr:uid="{F9F0BF76-2053-418A-820D-66FC2911F88F}"/>
    <cellStyle name="Columna" xfId="28" xr:uid="{D0A939C1-ED95-49DD-96BC-71F5D2084EE0}"/>
    <cellStyle name="Columna (izquierda)" xfId="53" xr:uid="{22AC813D-3F5B-4BD8-9319-EB71F8B7614C}"/>
    <cellStyle name="Columna (sin negritas)" xfId="55" xr:uid="{0AE52C72-5667-4A5B-9EBD-0422D1558B5E}"/>
    <cellStyle name="Columna 2" xfId="54" xr:uid="{42FF0DDB-574D-4921-8119-EB820ADDD143}"/>
    <cellStyle name="Currency (2dp)" xfId="31" xr:uid="{DAB9CC11-37A1-43EB-A951-11505F5095BF}"/>
    <cellStyle name="Currency Dollar" xfId="42" xr:uid="{B0729C88-1710-468C-8E4C-7430AB6A94CD}"/>
    <cellStyle name="Currency Dollar (2dp)" xfId="43" xr:uid="{DE1E9A07-65AB-45CF-9A60-DF25D0A96D85}"/>
    <cellStyle name="Currency EUR" xfId="36" xr:uid="{9E0542FB-F239-4FD1-B671-91B5A643C61D}"/>
    <cellStyle name="Currency EUR (2dp)" xfId="37" xr:uid="{9ADD26D5-4794-4753-BD21-9FEBFF74452D}"/>
    <cellStyle name="Currency Euro" xfId="38" xr:uid="{E974EA68-BDF4-4BB0-99FA-AC0E9CB4CCE7}"/>
    <cellStyle name="Currency Euro (2dp)" xfId="39" xr:uid="{87750749-0E9A-4ED7-8F31-1AD5886751DD}"/>
    <cellStyle name="Currency GBP" xfId="44" xr:uid="{E2A41AF8-D000-4DE0-9E12-F8AA980146AE}"/>
    <cellStyle name="Currency GBP (2dp)" xfId="45" xr:uid="{3E271180-718D-45DE-88DE-4014048AC5A0}"/>
    <cellStyle name="Currency Pound" xfId="46" xr:uid="{5AC53F18-DD2E-45F9-963D-406522A46550}"/>
    <cellStyle name="Currency Pound (2dp)" xfId="47" xr:uid="{03F18CF6-0CA9-4F16-820E-F200BA9A71A2}"/>
    <cellStyle name="Currency USD" xfId="40" xr:uid="{5C8CE3FC-8BE1-404A-B28C-6407F9A422CD}"/>
    <cellStyle name="Currency USD (2dp)" xfId="41" xr:uid="{55A933F9-6BE5-4C10-864A-986FE3AD213A}"/>
    <cellStyle name="Date" xfId="48" xr:uid="{55705D81-83C1-46B7-8324-1EB0F48B19AF}"/>
    <cellStyle name="Date (Month)" xfId="49" xr:uid="{C02C60C2-85ED-4154-9B03-AB53DA2A732C}"/>
    <cellStyle name="Date (Year)" xfId="50" xr:uid="{04EFE6F9-FC53-4003-8982-E8FFEAAB1699}"/>
    <cellStyle name="Dato Calculo" xfId="22" xr:uid="{04C558B9-0098-4749-8E74-1E644A6DD7D5}"/>
    <cellStyle name="Dato de entrada" xfId="16" xr:uid="{12744A78-5453-427F-AB08-71947D8ED8B1}"/>
    <cellStyle name="Dato Entrada" xfId="20" xr:uid="{0576882D-08A9-498C-8895-C1E6703EF6BF}"/>
    <cellStyle name="Dato entrada 2" xfId="61" xr:uid="{A47DBAF5-1136-4BDC-858B-BF531297F394}"/>
    <cellStyle name="Dato Entrada 2 3" xfId="65" xr:uid="{AC0910C2-7BF7-4CD6-BDC7-37F052173195}"/>
    <cellStyle name="Datos de otra hoja" xfId="23" xr:uid="{80213CF1-CD32-4D49-9FA3-5B17D07BDCAD}"/>
    <cellStyle name="Datos de otro libro" xfId="24" xr:uid="{7757E86E-D4DE-4EF9-9320-CB91E0811D89}"/>
    <cellStyle name="Datos estimados" xfId="21" xr:uid="{B2C58CD8-3FC3-4D09-B87E-6CDD85A1C5A6}"/>
    <cellStyle name="Datos Externos" xfId="25" xr:uid="{E10CDF6C-E7EC-4DD4-BE80-CA0F8DA69F46}"/>
    <cellStyle name="Énfasis5" xfId="9" builtinId="45"/>
    <cellStyle name="H0" xfId="10" xr:uid="{33E154FB-E31B-4694-A86F-194A34FD483C}"/>
    <cellStyle name="H0 2" xfId="58" xr:uid="{9CC18809-F568-44DB-92F8-4ED01E545761}"/>
    <cellStyle name="H1" xfId="51" xr:uid="{DB86F3A8-44F9-41C3-9822-F4E5D4EE5F3C}"/>
    <cellStyle name="H2" xfId="11" xr:uid="{2260134D-C2AC-461F-A0C8-3505C3BA54CA}"/>
    <cellStyle name="H3" xfId="14" xr:uid="{AD603506-9C8B-47EF-A3BF-81ACA4F04BC6}"/>
    <cellStyle name="H4" xfId="52" xr:uid="{2EDD579F-3F34-444B-80F8-56705C31FE6F}"/>
    <cellStyle name="Highlight" xfId="15" xr:uid="{43609506-B6D5-4BD3-A89B-51AE80A87EB4}"/>
    <cellStyle name="Hipervínculo" xfId="60" builtinId="8"/>
    <cellStyle name="Input data" xfId="59" xr:uid="{48397E73-E5C3-4797-879E-327159588DF6}"/>
    <cellStyle name="Input data 2" xfId="64" xr:uid="{F3A00104-9304-423F-874B-B93ED29CE1B3}"/>
    <cellStyle name="Input link" xfId="63" xr:uid="{9D589A5D-5CD6-47DE-B3CB-A7CA6507BBED}"/>
    <cellStyle name="Input link (different workbook)" xfId="62" xr:uid="{9A9B2EAD-0229-4B9A-9C97-1FB90F01BDF3}"/>
    <cellStyle name="Input parameter" xfId="69" xr:uid="{C289017B-64C8-42BE-889D-26E5403EAB5E}"/>
    <cellStyle name="Millares" xfId="1" builtinId="3"/>
    <cellStyle name="Moneda" xfId="2" builtinId="4"/>
    <cellStyle name="Nombre" xfId="27" xr:uid="{4542386E-BD8B-4505-93C1-B03452E18024}"/>
    <cellStyle name="Normal" xfId="0" builtinId="0"/>
    <cellStyle name="Notas" xfId="6" builtinId="10"/>
    <cellStyle name="Number" xfId="19" xr:uid="{422196DD-F017-4FAD-A6AE-275B889CA781}"/>
    <cellStyle name="Number (2dp)" xfId="29" xr:uid="{CB5B76D8-3A5A-4F67-80E2-B9AA1213AF89}"/>
    <cellStyle name="Percentage" xfId="33" xr:uid="{0A45B811-538B-4EA1-B4A7-26C23BE1FEC4}"/>
    <cellStyle name="Percentage (2dp)" xfId="34" xr:uid="{BE59ABE4-B097-41B4-9AB4-9CD55EDB7AE7}"/>
    <cellStyle name="Porcentaje" xfId="3" builtinId="5"/>
    <cellStyle name="Row label" xfId="12" xr:uid="{EE291D87-07C8-43E3-BD92-B95C8A44D7E9}"/>
    <cellStyle name="Row label (indent)" xfId="18" xr:uid="{0EBB1D06-C7E4-4EDD-9B15-C948EFF827C3}"/>
    <cellStyle name="Salida" xfId="4" builtinId="21"/>
    <cellStyle name="Sub-total renglon" xfId="56" xr:uid="{C77B46B1-F467-43CB-AA11-670C244D8769}"/>
    <cellStyle name="Tabla renglon final" xfId="35" xr:uid="{C2252D7F-1939-4AEC-B8EC-C7BB9B44041F}"/>
    <cellStyle name="Tabla sombreado" xfId="32" xr:uid="{D3B9C6F6-ACB6-47AB-9BB7-38178C9CE3C2}"/>
    <cellStyle name="Table shading" xfId="66" xr:uid="{8BADC391-D218-4AE9-9F7D-EF598E3C2FA2}"/>
    <cellStyle name="Table unshading" xfId="30" xr:uid="{6AD9942F-2151-4D88-A46D-E42808546AD5}"/>
    <cellStyle name="Text" xfId="13" xr:uid="{314BC886-5717-4A32-B9BD-AC601DED08BC}"/>
    <cellStyle name="Texto explicativo" xfId="7" builtinId="53"/>
    <cellStyle name="Total" xfId="8" builtinId="25"/>
    <cellStyle name="Total renglon" xfId="57" xr:uid="{501578C1-B1D8-4552-9732-0ADD2D698FE0}"/>
    <cellStyle name="Total row" xfId="70" xr:uid="{E4EE85E8-C5C1-480F-83B4-BA7B33CD5576}"/>
    <cellStyle name="Unhighlight" xfId="17" xr:uid="{0A2A1B36-46C3-4401-BA11-1154F9004114}"/>
  </cellStyles>
  <dxfs count="17">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b/>
        <i/>
        <color rgb="FFFFFF00"/>
      </font>
      <fill>
        <patternFill>
          <bgColor rgb="FFC4123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13</xdr:col>
      <xdr:colOff>210547</xdr:colOff>
      <xdr:row>0</xdr:row>
      <xdr:rowOff>330018</xdr:rowOff>
    </xdr:to>
    <xdr:pic>
      <xdr:nvPicPr>
        <xdr:cNvPr id="2" name="Imagen 1">
          <a:extLst>
            <a:ext uri="{FF2B5EF4-FFF2-40B4-BE49-F238E27FC236}">
              <a16:creationId xmlns:a16="http://schemas.microsoft.com/office/drawing/2014/main" id="{85F2023B-B659-472B-8123-15386E508A1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3080" y="0"/>
          <a:ext cx="3685267" cy="33001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475342</xdr:colOff>
      <xdr:row>0</xdr:row>
      <xdr:rowOff>326208</xdr:rowOff>
    </xdr:to>
    <xdr:pic>
      <xdr:nvPicPr>
        <xdr:cNvPr id="2" name="Imagen 1">
          <a:extLst>
            <a:ext uri="{FF2B5EF4-FFF2-40B4-BE49-F238E27FC236}">
              <a16:creationId xmlns:a16="http://schemas.microsoft.com/office/drawing/2014/main" id="{791E1848-A572-4D40-B171-731A8389129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2620" y="0"/>
          <a:ext cx="4571092" cy="32239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14</xdr:col>
      <xdr:colOff>245175</xdr:colOff>
      <xdr:row>0</xdr:row>
      <xdr:rowOff>322398</xdr:rowOff>
    </xdr:to>
    <xdr:pic>
      <xdr:nvPicPr>
        <xdr:cNvPr id="2" name="Imagen 1">
          <a:extLst>
            <a:ext uri="{FF2B5EF4-FFF2-40B4-BE49-F238E27FC236}">
              <a16:creationId xmlns:a16="http://schemas.microsoft.com/office/drawing/2014/main" id="{F9E6D291-63F9-477B-ACE9-89A8F78BFE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1160" y="0"/>
          <a:ext cx="4558095" cy="32239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8</xdr:col>
      <xdr:colOff>489560</xdr:colOff>
      <xdr:row>0</xdr:row>
      <xdr:rowOff>330653</xdr:rowOff>
    </xdr:to>
    <xdr:pic>
      <xdr:nvPicPr>
        <xdr:cNvPr id="2" name="Imagen 1">
          <a:extLst>
            <a:ext uri="{FF2B5EF4-FFF2-40B4-BE49-F238E27FC236}">
              <a16:creationId xmlns:a16="http://schemas.microsoft.com/office/drawing/2014/main" id="{9EF729C4-8190-4EA2-8920-7D4A498B2A8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5220" y="0"/>
          <a:ext cx="4566260" cy="33065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8</xdr:col>
      <xdr:colOff>776650</xdr:colOff>
      <xdr:row>0</xdr:row>
      <xdr:rowOff>330653</xdr:rowOff>
    </xdr:to>
    <xdr:pic>
      <xdr:nvPicPr>
        <xdr:cNvPr id="2" name="Imagen 1">
          <a:extLst>
            <a:ext uri="{FF2B5EF4-FFF2-40B4-BE49-F238E27FC236}">
              <a16:creationId xmlns:a16="http://schemas.microsoft.com/office/drawing/2014/main" id="{1BD903A6-F2CA-4AD0-ABA7-1A3B804127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06740" y="0"/>
          <a:ext cx="4563790" cy="330653"/>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clarovideo.com/fe/sitesplus/sk_telmex/html/esp/faqs.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downloads.telmex.com/pdf/ServiciosMercadoMasivo.pdf" TargetMode="External"/><Relationship Id="rId1" Type="http://schemas.openxmlformats.org/officeDocument/2006/relationships/hyperlink" Target="https://telmex.com/web/negocios/velocidades-simetrica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48359-A835-4688-A1D5-76F07EBEA798}">
  <sheetPr>
    <outlinePr summaryBelow="0"/>
    <pageSetUpPr autoPageBreaks="0"/>
  </sheetPr>
  <dimension ref="A1:E24"/>
  <sheetViews>
    <sheetView showGridLines="0" defaultGridColor="0" colorId="22" zoomScaleNormal="100" zoomScaleSheetLayoutView="75" workbookViewId="0">
      <pane ySplit="19" topLeftCell="A96" activePane="bottomLeft" state="frozen"/>
      <selection activeCell="D111" sqref="D111"/>
      <selection pane="bottomLeft" sqref="A1:XFD1048576"/>
    </sheetView>
  </sheetViews>
  <sheetFormatPr baseColWidth="10" defaultColWidth="12.85546875" defaultRowHeight="11.45" customHeight="1"/>
  <cols>
    <col min="1" max="4" width="16.85546875" customWidth="1"/>
    <col min="5" max="5" width="62.85546875" customWidth="1"/>
  </cols>
  <sheetData>
    <row r="1" spans="1:5" ht="33.75" customHeight="1">
      <c r="A1" s="1"/>
      <c r="B1" s="1"/>
      <c r="C1" s="2" t="s">
        <v>0</v>
      </c>
      <c r="D1" s="1"/>
      <c r="E1" s="1"/>
    </row>
    <row r="2" spans="1:5" ht="12" customHeight="1">
      <c r="A2" s="3"/>
      <c r="B2" s="3"/>
      <c r="C2" s="3"/>
      <c r="D2" s="3"/>
      <c r="E2" s="3"/>
    </row>
    <row r="3" spans="1:5" ht="18">
      <c r="A3" s="4" t="s">
        <v>1</v>
      </c>
    </row>
    <row r="4" spans="1:5" ht="6" customHeight="1"/>
    <row r="5" spans="1:5" ht="12">
      <c r="A5" s="5" t="s">
        <v>2</v>
      </c>
      <c r="B5" s="6" t="s">
        <v>3</v>
      </c>
    </row>
    <row r="6" spans="1:5" ht="12">
      <c r="A6" s="5" t="s">
        <v>4</v>
      </c>
      <c r="B6" s="6" t="s">
        <v>5</v>
      </c>
    </row>
    <row r="7" spans="1:5" ht="6" customHeight="1"/>
    <row r="8" spans="1:5" ht="12">
      <c r="A8" s="5" t="s">
        <v>6</v>
      </c>
      <c r="B8" s="6" t="s">
        <v>7</v>
      </c>
    </row>
    <row r="9" spans="1:5" ht="12">
      <c r="A9" s="5" t="s">
        <v>8</v>
      </c>
      <c r="B9" s="7" t="s">
        <v>9</v>
      </c>
    </row>
    <row r="10" spans="1:5" ht="12" hidden="1">
      <c r="A10" s="5"/>
      <c r="B10" s="7" t="s">
        <v>9</v>
      </c>
    </row>
    <row r="11" spans="1:5" ht="12" hidden="1">
      <c r="A11" s="5"/>
      <c r="B11" s="7" t="s">
        <v>10</v>
      </c>
    </row>
    <row r="12" spans="1:5" ht="12" hidden="1">
      <c r="A12" s="5"/>
      <c r="B12" s="7" t="s">
        <v>11</v>
      </c>
    </row>
    <row r="13" spans="1:5" ht="12" hidden="1">
      <c r="A13" s="5"/>
      <c r="B13" s="7" t="s">
        <v>12</v>
      </c>
    </row>
    <row r="14" spans="1:5" ht="12">
      <c r="A14" s="5" t="s">
        <v>13</v>
      </c>
      <c r="B14" s="6" t="s">
        <v>14</v>
      </c>
    </row>
    <row r="15" spans="1:5" ht="12">
      <c r="A15" s="5" t="s">
        <v>15</v>
      </c>
      <c r="B15" s="6" t="s">
        <v>16</v>
      </c>
    </row>
    <row r="16" spans="1:5" ht="6" customHeight="1">
      <c r="A16" s="5"/>
      <c r="B16" s="6"/>
    </row>
    <row r="17" spans="1:5" ht="18">
      <c r="A17" s="4" t="s">
        <v>0</v>
      </c>
    </row>
    <row r="18" spans="1:5" ht="6" customHeight="1"/>
    <row r="19" spans="1:5" ht="15.75">
      <c r="A19" s="8" t="s">
        <v>17</v>
      </c>
      <c r="B19" s="8" t="s">
        <v>18</v>
      </c>
      <c r="C19" s="9"/>
      <c r="D19" s="8" t="s">
        <v>8</v>
      </c>
      <c r="E19" s="8" t="s">
        <v>19</v>
      </c>
    </row>
    <row r="20" spans="1:5" ht="12">
      <c r="A20" s="7" t="s">
        <v>20</v>
      </c>
      <c r="B20" s="7" t="s">
        <v>21</v>
      </c>
      <c r="C20" s="7"/>
      <c r="D20" s="7" t="s">
        <v>12</v>
      </c>
      <c r="E20" s="7"/>
    </row>
    <row r="21" spans="1:5" ht="12">
      <c r="A21" s="7" t="s">
        <v>22</v>
      </c>
      <c r="B21" s="7" t="s">
        <v>23</v>
      </c>
      <c r="C21" s="7"/>
      <c r="D21" s="7" t="s">
        <v>12</v>
      </c>
      <c r="E21" s="7"/>
    </row>
    <row r="22" spans="1:5" ht="12">
      <c r="A22" s="7" t="s">
        <v>24</v>
      </c>
      <c r="B22" s="7" t="s">
        <v>25</v>
      </c>
      <c r="C22" s="7"/>
      <c r="D22" s="7" t="s">
        <v>12</v>
      </c>
      <c r="E22" s="7"/>
    </row>
    <row r="23" spans="1:5" ht="12">
      <c r="A23" s="7" t="s">
        <v>17</v>
      </c>
      <c r="B23" s="10" t="s">
        <v>26</v>
      </c>
      <c r="C23" s="7"/>
      <c r="D23" s="7" t="s">
        <v>12</v>
      </c>
      <c r="E23" s="7"/>
    </row>
    <row r="24" spans="1:5" ht="12">
      <c r="A24" s="11" t="s">
        <v>27</v>
      </c>
      <c r="B24" s="11"/>
      <c r="C24" s="11"/>
      <c r="D24" s="11"/>
      <c r="E24" s="11"/>
    </row>
  </sheetData>
  <dataValidations count="1">
    <dataValidation type="list" allowBlank="1" sqref="B9 D20:D23" xr:uid="{C2A09EB0-88C9-4CB4-AC8F-909A214189EC}">
      <formula1>$B$10:$B$13</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A67FA-E45B-4B40-B134-F6EAC17A0DCA}">
  <sheetPr>
    <pageSetUpPr autoPageBreaks="0"/>
  </sheetPr>
  <dimension ref="A1:D15"/>
  <sheetViews>
    <sheetView showGridLines="0" defaultGridColor="0" colorId="22" zoomScaleNormal="100" zoomScaleSheetLayoutView="75" workbookViewId="0">
      <pane ySplit="15" topLeftCell="A16" activePane="bottomLeft" state="frozen"/>
      <selection activeCell="D111" sqref="D111"/>
      <selection pane="bottomLeft" sqref="A1:XFD1048576"/>
    </sheetView>
  </sheetViews>
  <sheetFormatPr baseColWidth="10" defaultColWidth="12.85546875" defaultRowHeight="11.45" customHeight="1"/>
  <cols>
    <col min="1" max="1" width="16.5703125" customWidth="1"/>
    <col min="2" max="3" width="16.85546875" customWidth="1"/>
    <col min="4" max="4" width="92.85546875" customWidth="1"/>
  </cols>
  <sheetData>
    <row r="1" spans="1:4" ht="33.75" customHeight="1">
      <c r="A1" s="12"/>
      <c r="B1" s="12"/>
      <c r="C1" s="13" t="s">
        <v>28</v>
      </c>
      <c r="D1" s="12"/>
    </row>
    <row r="2" spans="1:4" ht="12" customHeight="1"/>
    <row r="3" spans="1:4" ht="18">
      <c r="A3" s="4" t="s">
        <v>1</v>
      </c>
    </row>
    <row r="4" spans="1:4" ht="6" customHeight="1"/>
    <row r="5" spans="1:4" ht="12">
      <c r="A5" s="5" t="s">
        <v>2</v>
      </c>
      <c r="B5" s="7" t="str">
        <f>Workbook.Title</f>
        <v>Workbook Title</v>
      </c>
    </row>
    <row r="6" spans="1:4" ht="12">
      <c r="A6" s="5" t="s">
        <v>4</v>
      </c>
      <c r="B6" s="7" t="str">
        <f>Workbook.Objective</f>
        <v>Workbook Objective</v>
      </c>
    </row>
    <row r="7" spans="1:4" ht="12"/>
    <row r="8" spans="1:4" ht="12">
      <c r="A8" s="5" t="s">
        <v>6</v>
      </c>
      <c r="B8" s="7" t="str">
        <f>Workbook.Version</f>
        <v>Workbook Version</v>
      </c>
    </row>
    <row r="9" spans="1:4" ht="12">
      <c r="A9" s="5" t="s">
        <v>8</v>
      </c>
      <c r="B9" s="7" t="str">
        <f>Workbook.Status</f>
        <v>Under construction</v>
      </c>
    </row>
    <row r="10" spans="1:4" ht="12">
      <c r="A10" s="5" t="s">
        <v>13</v>
      </c>
      <c r="B10" s="7" t="str">
        <f>Workbook.Author</f>
        <v>Workbook Author</v>
      </c>
    </row>
    <row r="11" spans="1:4" ht="12">
      <c r="A11" s="5" t="s">
        <v>15</v>
      </c>
      <c r="B11" s="7" t="str">
        <f>Workbook.Authors_Email_Address</f>
        <v>Workbook Author's Email Address</v>
      </c>
    </row>
    <row r="12" spans="1:4" ht="12"/>
    <row r="13" spans="1:4" ht="18">
      <c r="A13" s="14" t="s">
        <v>29</v>
      </c>
    </row>
    <row r="14" spans="1:4" ht="6" customHeight="1"/>
    <row r="15" spans="1:4" ht="15.75">
      <c r="A15" s="15" t="s">
        <v>6</v>
      </c>
      <c r="B15" s="15" t="s">
        <v>30</v>
      </c>
      <c r="C15" s="15" t="s">
        <v>13</v>
      </c>
      <c r="D15" s="8" t="s">
        <v>31</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EC20B-F0C0-4D43-AFB1-3B6CB282C169}">
  <sheetPr>
    <outlinePr summaryBelow="0"/>
    <pageSetUpPr autoPageBreaks="0" fitToPage="1"/>
  </sheetPr>
  <dimension ref="A1:J144"/>
  <sheetViews>
    <sheetView showGridLines="0" defaultGridColor="0" colorId="22" zoomScaleNormal="100" workbookViewId="0">
      <pane ySplit="1" topLeftCell="A2" activePane="bottomLeft" state="frozen"/>
      <selection activeCell="D111" sqref="D111"/>
      <selection pane="bottomLeft" sqref="A1:XFD1048576"/>
    </sheetView>
  </sheetViews>
  <sheetFormatPr baseColWidth="10" defaultColWidth="12.85546875" defaultRowHeight="11.45" customHeight="1"/>
  <cols>
    <col min="1" max="1" width="2.85546875" customWidth="1"/>
    <col min="2" max="2" width="26.5703125" customWidth="1"/>
  </cols>
  <sheetData>
    <row r="1" spans="1:10" ht="33.75" customHeight="1">
      <c r="A1" s="16"/>
      <c r="B1" s="16"/>
      <c r="C1" s="2" t="s">
        <v>32</v>
      </c>
      <c r="D1" s="16"/>
      <c r="E1" s="16"/>
      <c r="F1" s="16"/>
      <c r="G1" s="16"/>
      <c r="H1" s="16"/>
      <c r="I1" s="16"/>
      <c r="J1" s="16"/>
    </row>
    <row r="2" spans="1:10" ht="12" customHeight="1"/>
    <row r="3" spans="1:10" ht="12">
      <c r="A3" s="17" t="s">
        <v>33</v>
      </c>
    </row>
    <row r="4" spans="1:10" ht="12">
      <c r="A4" s="17" t="s">
        <v>34</v>
      </c>
    </row>
    <row r="5" spans="1:10" ht="12"/>
    <row r="6" spans="1:10" ht="18">
      <c r="A6" s="18" t="s">
        <v>35</v>
      </c>
    </row>
    <row r="7" spans="1:10" ht="12">
      <c r="A7" s="19" t="s">
        <v>36</v>
      </c>
      <c r="B7" s="20"/>
      <c r="C7" s="20"/>
      <c r="D7" s="20"/>
      <c r="E7" s="20"/>
    </row>
    <row r="8" spans="1:10" ht="12">
      <c r="A8" s="17" t="s">
        <v>37</v>
      </c>
    </row>
    <row r="9" spans="1:10" ht="12"/>
    <row r="10" spans="1:10" ht="12">
      <c r="B10" s="21" t="s">
        <v>38</v>
      </c>
      <c r="C10" s="22">
        <v>100</v>
      </c>
      <c r="D10" s="17" t="s">
        <v>39</v>
      </c>
      <c r="E10" t="s">
        <v>40</v>
      </c>
    </row>
    <row r="11" spans="1:10" ht="12"/>
    <row r="12" spans="1:10" ht="12">
      <c r="B12" s="21" t="s">
        <v>38</v>
      </c>
      <c r="C12" s="22">
        <v>250</v>
      </c>
      <c r="D12" s="17" t="s">
        <v>39</v>
      </c>
      <c r="E12" s="23" t="s">
        <v>41</v>
      </c>
      <c r="F12" s="23"/>
      <c r="G12" s="23"/>
      <c r="H12" s="23"/>
      <c r="I12" s="23"/>
      <c r="J12" s="23"/>
    </row>
    <row r="13" spans="1:10" ht="12" hidden="1">
      <c r="B13" s="24" t="s">
        <v>42</v>
      </c>
      <c r="C13" s="25">
        <v>100</v>
      </c>
    </row>
    <row r="14" spans="1:10" ht="12" hidden="1">
      <c r="B14" s="24" t="s">
        <v>43</v>
      </c>
      <c r="C14" s="25">
        <v>300</v>
      </c>
    </row>
    <row r="15" spans="1:10" ht="12"/>
    <row r="16" spans="1:10" ht="12">
      <c r="B16" s="21" t="s">
        <v>38</v>
      </c>
      <c r="C16" s="22">
        <v>300</v>
      </c>
      <c r="D16" s="17" t="s">
        <v>39</v>
      </c>
      <c r="E16" s="23" t="s">
        <v>44</v>
      </c>
      <c r="F16" s="23"/>
      <c r="G16" s="23"/>
      <c r="H16" s="23"/>
      <c r="I16" s="23"/>
      <c r="J16" s="23"/>
    </row>
    <row r="17" spans="2:5" ht="12" hidden="1">
      <c r="B17" s="24" t="s">
        <v>45</v>
      </c>
      <c r="C17" s="25">
        <v>100</v>
      </c>
    </row>
    <row r="18" spans="2:5" ht="12" hidden="1">
      <c r="C18" s="25">
        <v>200</v>
      </c>
    </row>
    <row r="19" spans="2:5" ht="12" hidden="1">
      <c r="C19" s="25">
        <v>300</v>
      </c>
    </row>
    <row r="20" spans="2:5" ht="12"/>
    <row r="21" spans="2:5" ht="12">
      <c r="B21" s="21" t="s">
        <v>46</v>
      </c>
      <c r="C21" s="26">
        <v>100</v>
      </c>
      <c r="D21" s="17" t="s">
        <v>39</v>
      </c>
      <c r="E21" t="s">
        <v>47</v>
      </c>
    </row>
    <row r="22" spans="2:5" ht="12"/>
    <row r="23" spans="2:5" ht="12">
      <c r="B23" s="21" t="s">
        <v>48</v>
      </c>
      <c r="C23" s="27">
        <v>100</v>
      </c>
      <c r="D23" s="17" t="s">
        <v>39</v>
      </c>
      <c r="E23" t="s">
        <v>49</v>
      </c>
    </row>
    <row r="24" spans="2:5" ht="12"/>
    <row r="25" spans="2:5" ht="12">
      <c r="B25" s="21" t="s">
        <v>50</v>
      </c>
      <c r="C25" s="28">
        <v>100</v>
      </c>
      <c r="D25" s="17" t="s">
        <v>51</v>
      </c>
      <c r="E25" t="s">
        <v>52</v>
      </c>
    </row>
    <row r="26" spans="2:5" ht="12"/>
    <row r="27" spans="2:5" ht="12">
      <c r="B27" s="21" t="s">
        <v>53</v>
      </c>
      <c r="C27" s="29">
        <v>100</v>
      </c>
      <c r="D27" s="17" t="s">
        <v>51</v>
      </c>
      <c r="E27" t="s">
        <v>54</v>
      </c>
    </row>
    <row r="28" spans="2:5" ht="12"/>
    <row r="29" spans="2:5" ht="12" customHeight="1">
      <c r="B29" s="21" t="s">
        <v>55</v>
      </c>
      <c r="C29" s="30">
        <v>100</v>
      </c>
      <c r="D29" s="17" t="s">
        <v>51</v>
      </c>
      <c r="E29" t="s">
        <v>56</v>
      </c>
    </row>
    <row r="30" spans="2:5" ht="12"/>
    <row r="31" spans="2:5" ht="12" customHeight="1">
      <c r="B31" s="21" t="s">
        <v>57</v>
      </c>
      <c r="C31" s="31">
        <v>100</v>
      </c>
      <c r="D31" s="17" t="s">
        <v>51</v>
      </c>
      <c r="E31" t="s">
        <v>58</v>
      </c>
    </row>
    <row r="32" spans="2:5" ht="12"/>
    <row r="33" spans="1:10" ht="18">
      <c r="A33" s="18" t="s">
        <v>59</v>
      </c>
    </row>
    <row r="34" spans="1:10" ht="12">
      <c r="A34" s="19" t="s">
        <v>60</v>
      </c>
      <c r="B34" s="20"/>
      <c r="C34" s="20"/>
      <c r="D34" s="20"/>
      <c r="E34" s="20"/>
    </row>
    <row r="35" spans="1:10" ht="12">
      <c r="A35" s="17" t="s">
        <v>61</v>
      </c>
    </row>
    <row r="36" spans="1:10" ht="12"/>
    <row r="37" spans="1:10" ht="12">
      <c r="B37" s="21" t="s">
        <v>62</v>
      </c>
      <c r="C37" s="32">
        <v>100</v>
      </c>
      <c r="D37" s="17" t="s">
        <v>51</v>
      </c>
      <c r="E37" t="s">
        <v>63</v>
      </c>
    </row>
    <row r="38" spans="1:10" ht="12">
      <c r="C38" s="32"/>
    </row>
    <row r="39" spans="1:10" ht="12">
      <c r="B39" s="21" t="s">
        <v>64</v>
      </c>
      <c r="C39" s="33">
        <v>123.45</v>
      </c>
      <c r="E39" t="s">
        <v>65</v>
      </c>
    </row>
    <row r="40" spans="1:10" ht="12"/>
    <row r="41" spans="1:10" ht="12">
      <c r="B41" s="21" t="s">
        <v>66</v>
      </c>
      <c r="C41" s="34">
        <v>0</v>
      </c>
      <c r="D41" s="17" t="s">
        <v>51</v>
      </c>
      <c r="E41" t="s">
        <v>67</v>
      </c>
      <c r="F41" s="23"/>
      <c r="G41" s="23"/>
      <c r="H41" s="23"/>
      <c r="I41" s="23"/>
      <c r="J41" s="23"/>
    </row>
    <row r="42" spans="1:10" ht="12"/>
    <row r="43" spans="1:10" ht="12">
      <c r="B43" s="21" t="s">
        <v>66</v>
      </c>
      <c r="C43" s="34">
        <v>0.1</v>
      </c>
      <c r="D43" s="17" t="s">
        <v>51</v>
      </c>
      <c r="E43" s="23" t="s">
        <v>68</v>
      </c>
      <c r="F43" s="23"/>
      <c r="G43" s="23"/>
      <c r="H43" s="23"/>
      <c r="I43" s="23"/>
      <c r="J43" s="23"/>
    </row>
    <row r="44" spans="1:10" ht="12"/>
    <row r="45" spans="1:10" ht="12">
      <c r="B45" s="21" t="s">
        <v>69</v>
      </c>
      <c r="C45" s="35">
        <v>100</v>
      </c>
      <c r="E45" t="s">
        <v>70</v>
      </c>
    </row>
    <row r="46" spans="1:10" ht="12"/>
    <row r="47" spans="1:10" ht="12">
      <c r="B47" s="21" t="s">
        <v>71</v>
      </c>
      <c r="C47" s="36" t="s">
        <v>71</v>
      </c>
      <c r="D47" s="17" t="s">
        <v>51</v>
      </c>
      <c r="E47" t="s">
        <v>72</v>
      </c>
    </row>
    <row r="48" spans="1:10" ht="12"/>
    <row r="49" spans="1:10" ht="12">
      <c r="B49" s="21" t="s">
        <v>73</v>
      </c>
      <c r="C49" s="37" t="s">
        <v>73</v>
      </c>
      <c r="E49" t="s">
        <v>74</v>
      </c>
    </row>
    <row r="50" spans="1:10" ht="12"/>
    <row r="51" spans="1:10" ht="12">
      <c r="B51" s="21" t="s">
        <v>75</v>
      </c>
      <c r="C51" s="38">
        <v>100</v>
      </c>
      <c r="E51" t="s">
        <v>76</v>
      </c>
    </row>
    <row r="52" spans="1:10" ht="12">
      <c r="B52" s="21"/>
    </row>
    <row r="53" spans="1:10" ht="12">
      <c r="B53" s="21" t="s">
        <v>77</v>
      </c>
      <c r="C53" s="39">
        <v>100</v>
      </c>
      <c r="E53" t="s">
        <v>78</v>
      </c>
    </row>
    <row r="54" spans="1:10" ht="12"/>
    <row r="55" spans="1:10" ht="18">
      <c r="A55" s="18" t="s">
        <v>79</v>
      </c>
    </row>
    <row r="56" spans="1:10" ht="12">
      <c r="A56" s="19" t="s">
        <v>80</v>
      </c>
      <c r="B56" s="20"/>
      <c r="C56" s="20"/>
      <c r="D56" s="20"/>
      <c r="E56" s="20"/>
    </row>
    <row r="57" spans="1:10" ht="12">
      <c r="A57" s="17" t="s">
        <v>81</v>
      </c>
    </row>
    <row r="58" spans="1:10" ht="12">
      <c r="A58" s="17" t="s">
        <v>82</v>
      </c>
    </row>
    <row r="59" spans="1:10" ht="12"/>
    <row r="60" spans="1:10" ht="24">
      <c r="B60" s="40"/>
      <c r="C60" s="40" t="s">
        <v>83</v>
      </c>
      <c r="D60" s="40" t="s">
        <v>84</v>
      </c>
      <c r="E60" s="40" t="s">
        <v>85</v>
      </c>
      <c r="F60" s="40" t="s">
        <v>86</v>
      </c>
      <c r="G60" s="40" t="s">
        <v>87</v>
      </c>
      <c r="H60" s="40" t="s">
        <v>88</v>
      </c>
      <c r="I60" s="40" t="s">
        <v>89</v>
      </c>
      <c r="J60" s="40" t="s">
        <v>90</v>
      </c>
    </row>
    <row r="61" spans="1:10" ht="12">
      <c r="B61" s="21" t="s">
        <v>91</v>
      </c>
      <c r="C61" s="25">
        <v>1234.56</v>
      </c>
      <c r="D61" s="41">
        <v>123.45</v>
      </c>
      <c r="E61" s="42">
        <v>0.1234</v>
      </c>
      <c r="F61" s="43">
        <v>0.1234</v>
      </c>
      <c r="G61" s="44">
        <v>1234.56</v>
      </c>
      <c r="H61" s="45">
        <v>123.45</v>
      </c>
      <c r="I61" s="46">
        <v>1234.56</v>
      </c>
      <c r="J61" s="47">
        <v>0.1234</v>
      </c>
    </row>
    <row r="62" spans="1:10" ht="12">
      <c r="B62" s="21" t="s">
        <v>92</v>
      </c>
      <c r="C62" s="25">
        <v>-1234.56</v>
      </c>
      <c r="D62" s="41">
        <v>-123.45</v>
      </c>
      <c r="E62" s="42">
        <v>-0.1234</v>
      </c>
      <c r="F62" s="43">
        <v>-0.1234</v>
      </c>
      <c r="G62" s="44">
        <v>-1234.56</v>
      </c>
      <c r="H62" s="45">
        <v>-123.45</v>
      </c>
      <c r="I62" s="46">
        <v>-1234.56</v>
      </c>
      <c r="J62" s="47">
        <v>-0.1234</v>
      </c>
    </row>
    <row r="63" spans="1:10" ht="12">
      <c r="B63" s="21" t="s">
        <v>93</v>
      </c>
      <c r="C63" s="25">
        <v>0</v>
      </c>
      <c r="D63" s="41">
        <v>0</v>
      </c>
      <c r="E63" s="48">
        <v>0</v>
      </c>
      <c r="F63" s="49">
        <v>0</v>
      </c>
      <c r="G63" s="44">
        <v>0</v>
      </c>
      <c r="H63" s="45">
        <v>0</v>
      </c>
      <c r="I63" s="46">
        <v>0</v>
      </c>
      <c r="J63" s="47">
        <v>0</v>
      </c>
    </row>
    <row r="64" spans="1:10" ht="12.75" thickBot="1">
      <c r="B64" s="21" t="s">
        <v>94</v>
      </c>
      <c r="C64" s="25" t="s">
        <v>94</v>
      </c>
      <c r="D64" s="41" t="s">
        <v>94</v>
      </c>
      <c r="E64" s="42" t="s">
        <v>94</v>
      </c>
      <c r="F64" s="43" t="s">
        <v>94</v>
      </c>
      <c r="G64" s="44" t="s">
        <v>94</v>
      </c>
      <c r="H64" s="45" t="s">
        <v>94</v>
      </c>
      <c r="I64" s="46" t="s">
        <v>94</v>
      </c>
      <c r="J64" s="47" t="s">
        <v>94</v>
      </c>
    </row>
    <row r="65" spans="2:10" ht="12">
      <c r="B65" s="50"/>
      <c r="C65" s="50"/>
      <c r="D65" s="50"/>
      <c r="E65" s="50"/>
      <c r="F65" s="50"/>
      <c r="G65" s="50"/>
      <c r="H65" s="50"/>
      <c r="I65" s="50"/>
      <c r="J65" s="50"/>
    </row>
    <row r="66" spans="2:10" ht="24">
      <c r="B66" s="40"/>
      <c r="C66" s="40" t="s">
        <v>95</v>
      </c>
      <c r="D66" s="40" t="s">
        <v>96</v>
      </c>
      <c r="E66" s="40" t="s">
        <v>97</v>
      </c>
      <c r="F66" s="40" t="s">
        <v>98</v>
      </c>
    </row>
    <row r="67" spans="2:10" ht="12">
      <c r="B67" s="21" t="s">
        <v>91</v>
      </c>
      <c r="C67" s="51">
        <v>1234.56</v>
      </c>
      <c r="D67" s="52">
        <v>123.45</v>
      </c>
      <c r="E67" s="53">
        <v>1234.56</v>
      </c>
      <c r="F67" s="54">
        <v>123.45</v>
      </c>
    </row>
    <row r="68" spans="2:10" ht="12">
      <c r="B68" s="21" t="s">
        <v>92</v>
      </c>
      <c r="C68" s="51">
        <v>-1234.56</v>
      </c>
      <c r="D68" s="52">
        <v>-123.45</v>
      </c>
      <c r="E68" s="53">
        <v>-1234.56</v>
      </c>
      <c r="F68" s="54">
        <v>-123.45</v>
      </c>
    </row>
    <row r="69" spans="2:10" ht="12">
      <c r="B69" s="21" t="s">
        <v>93</v>
      </c>
      <c r="C69" s="51">
        <v>0</v>
      </c>
      <c r="D69" s="52">
        <v>0</v>
      </c>
      <c r="E69" s="53">
        <v>0</v>
      </c>
      <c r="F69" s="54">
        <v>0</v>
      </c>
    </row>
    <row r="70" spans="2:10" ht="12.75" thickBot="1">
      <c r="B70" s="21" t="s">
        <v>94</v>
      </c>
      <c r="C70" s="51" t="s">
        <v>94</v>
      </c>
      <c r="D70" s="52" t="s">
        <v>94</v>
      </c>
      <c r="E70" s="53" t="s">
        <v>94</v>
      </c>
      <c r="F70" s="54" t="s">
        <v>94</v>
      </c>
    </row>
    <row r="71" spans="2:10" ht="12">
      <c r="B71" s="50"/>
      <c r="C71" s="50"/>
      <c r="D71" s="50"/>
      <c r="E71" s="50"/>
      <c r="F71" s="50"/>
    </row>
    <row r="72" spans="2:10" ht="24">
      <c r="B72" s="40"/>
      <c r="C72" s="40" t="s">
        <v>99</v>
      </c>
      <c r="D72" s="40" t="s">
        <v>100</v>
      </c>
      <c r="E72" s="40" t="s">
        <v>101</v>
      </c>
      <c r="F72" s="40" t="s">
        <v>102</v>
      </c>
    </row>
    <row r="73" spans="2:10" ht="12">
      <c r="B73" s="21" t="s">
        <v>91</v>
      </c>
      <c r="C73" s="55">
        <v>1234.56</v>
      </c>
      <c r="D73" s="56">
        <v>123.45</v>
      </c>
      <c r="E73" s="57">
        <v>1234.56</v>
      </c>
      <c r="F73" s="58">
        <v>123.45</v>
      </c>
    </row>
    <row r="74" spans="2:10" ht="12">
      <c r="B74" s="21" t="s">
        <v>92</v>
      </c>
      <c r="C74" s="55">
        <v>-1234.56</v>
      </c>
      <c r="D74" s="56">
        <v>-123.45</v>
      </c>
      <c r="E74" s="57">
        <v>-1234.56</v>
      </c>
      <c r="F74" s="58">
        <v>-123.45</v>
      </c>
    </row>
    <row r="75" spans="2:10" ht="12">
      <c r="B75" s="21" t="s">
        <v>93</v>
      </c>
      <c r="C75" s="55">
        <v>0</v>
      </c>
      <c r="D75" s="56">
        <v>0</v>
      </c>
      <c r="E75" s="57">
        <v>0</v>
      </c>
      <c r="F75" s="58">
        <v>0</v>
      </c>
    </row>
    <row r="76" spans="2:10" ht="12.75" thickBot="1">
      <c r="B76" s="21" t="s">
        <v>94</v>
      </c>
      <c r="C76" s="55" t="s">
        <v>94</v>
      </c>
      <c r="D76" s="56" t="s">
        <v>94</v>
      </c>
      <c r="E76" s="57" t="s">
        <v>94</v>
      </c>
      <c r="F76" s="58" t="s">
        <v>94</v>
      </c>
    </row>
    <row r="77" spans="2:10" ht="12">
      <c r="B77" s="50"/>
      <c r="C77" s="50"/>
      <c r="D77" s="50"/>
      <c r="E77" s="50"/>
      <c r="F77" s="50"/>
    </row>
    <row r="78" spans="2:10" ht="24">
      <c r="B78" s="40"/>
      <c r="C78" s="40" t="s">
        <v>103</v>
      </c>
      <c r="D78" s="40" t="s">
        <v>104</v>
      </c>
      <c r="E78" s="40" t="s">
        <v>105</v>
      </c>
      <c r="F78" s="40" t="s">
        <v>106</v>
      </c>
    </row>
    <row r="79" spans="2:10" ht="12">
      <c r="B79" s="21" t="s">
        <v>91</v>
      </c>
      <c r="C79" s="59">
        <v>1234.56</v>
      </c>
      <c r="D79" s="60">
        <v>123.45</v>
      </c>
      <c r="E79" s="61">
        <v>1234.56</v>
      </c>
      <c r="F79" s="62">
        <v>123.45</v>
      </c>
    </row>
    <row r="80" spans="2:10" ht="12">
      <c r="B80" s="21" t="s">
        <v>92</v>
      </c>
      <c r="C80" s="59">
        <v>-1234.56</v>
      </c>
      <c r="D80" s="60">
        <v>-123.45</v>
      </c>
      <c r="E80" s="61">
        <v>-1234.56</v>
      </c>
      <c r="F80" s="62">
        <v>-123.45</v>
      </c>
    </row>
    <row r="81" spans="1:6" ht="12">
      <c r="B81" s="21" t="s">
        <v>93</v>
      </c>
      <c r="C81" s="59">
        <v>0</v>
      </c>
      <c r="D81" s="60">
        <v>0</v>
      </c>
      <c r="E81" s="61">
        <v>0</v>
      </c>
      <c r="F81" s="62">
        <v>0</v>
      </c>
    </row>
    <row r="82" spans="1:6" ht="12.75" thickBot="1">
      <c r="B82" s="21" t="s">
        <v>94</v>
      </c>
      <c r="C82" s="59" t="s">
        <v>94</v>
      </c>
      <c r="D82" s="60" t="s">
        <v>94</v>
      </c>
      <c r="E82" s="61" t="s">
        <v>94</v>
      </c>
      <c r="F82" s="62" t="s">
        <v>94</v>
      </c>
    </row>
    <row r="83" spans="1:6" ht="12">
      <c r="B83" s="50"/>
      <c r="C83" s="50"/>
      <c r="D83" s="50"/>
      <c r="E83" s="50"/>
      <c r="F83" s="50"/>
    </row>
    <row r="84" spans="1:6" ht="24">
      <c r="B84" s="40"/>
      <c r="C84" s="40" t="s">
        <v>107</v>
      </c>
      <c r="D84" s="40" t="s">
        <v>108</v>
      </c>
      <c r="E84" s="40" t="s">
        <v>109</v>
      </c>
    </row>
    <row r="85" spans="1:6" ht="12.75" thickBot="1">
      <c r="B85" s="21" t="s">
        <v>107</v>
      </c>
      <c r="C85" s="63">
        <v>37591</v>
      </c>
      <c r="D85" s="64">
        <v>37591</v>
      </c>
      <c r="E85" s="65">
        <v>37591</v>
      </c>
    </row>
    <row r="86" spans="1:6" ht="12">
      <c r="B86" s="50"/>
      <c r="C86" s="50"/>
      <c r="D86" s="50"/>
      <c r="E86" s="50"/>
    </row>
    <row r="87" spans="1:6" ht="18">
      <c r="A87" s="18" t="s">
        <v>110</v>
      </c>
    </row>
    <row r="88" spans="1:6" ht="12">
      <c r="A88" s="19" t="s">
        <v>111</v>
      </c>
      <c r="B88" s="20"/>
      <c r="C88" s="20"/>
      <c r="D88" s="20"/>
      <c r="E88" s="20"/>
    </row>
    <row r="89" spans="1:6" ht="12">
      <c r="A89" s="17" t="s">
        <v>112</v>
      </c>
    </row>
    <row r="90" spans="1:6" ht="12">
      <c r="A90" s="17"/>
    </row>
    <row r="91" spans="1:6" ht="27.75">
      <c r="A91" s="17"/>
      <c r="B91" s="66" t="s">
        <v>113</v>
      </c>
      <c r="C91" s="66" t="s">
        <v>114</v>
      </c>
      <c r="D91" s="66"/>
      <c r="E91" t="s">
        <v>115</v>
      </c>
    </row>
    <row r="92" spans="1:6" ht="12">
      <c r="A92" s="17"/>
    </row>
    <row r="93" spans="1:6" ht="23.25">
      <c r="A93" s="17"/>
      <c r="B93" s="67" t="s">
        <v>116</v>
      </c>
      <c r="C93" s="67" t="s">
        <v>117</v>
      </c>
      <c r="D93" s="67"/>
      <c r="E93" t="s">
        <v>118</v>
      </c>
    </row>
    <row r="94" spans="1:6" ht="12"/>
    <row r="95" spans="1:6" ht="18">
      <c r="B95" s="18" t="s">
        <v>119</v>
      </c>
      <c r="C95" s="18" t="s">
        <v>117</v>
      </c>
      <c r="E95" t="s">
        <v>120</v>
      </c>
    </row>
    <row r="96" spans="1:6" ht="12"/>
    <row r="97" spans="1:6" ht="15.75">
      <c r="B97" s="9" t="s">
        <v>121</v>
      </c>
      <c r="C97" s="9" t="s">
        <v>117</v>
      </c>
      <c r="E97" t="s">
        <v>122</v>
      </c>
    </row>
    <row r="98" spans="1:6" ht="12"/>
    <row r="99" spans="1:6" ht="12">
      <c r="B99" s="68" t="s">
        <v>123</v>
      </c>
      <c r="C99" s="68" t="s">
        <v>117</v>
      </c>
      <c r="E99" t="s">
        <v>124</v>
      </c>
    </row>
    <row r="100" spans="1:6" ht="12"/>
    <row r="101" spans="1:6" ht="18">
      <c r="A101" s="18" t="s">
        <v>125</v>
      </c>
    </row>
    <row r="102" spans="1:6" ht="12">
      <c r="A102" s="19" t="s">
        <v>126</v>
      </c>
      <c r="B102" s="20"/>
      <c r="C102" s="20"/>
      <c r="D102" s="20"/>
      <c r="E102" s="20"/>
    </row>
    <row r="103" spans="1:6" ht="12">
      <c r="A103" s="17" t="s">
        <v>127</v>
      </c>
    </row>
    <row r="104" spans="1:6" ht="12"/>
    <row r="105" spans="1:6" ht="15.75">
      <c r="A105" s="9" t="s">
        <v>128</v>
      </c>
    </row>
    <row r="106" spans="1:6" ht="12">
      <c r="B106" s="69" t="s">
        <v>129</v>
      </c>
      <c r="C106" s="40" t="s">
        <v>130</v>
      </c>
      <c r="D106" s="40" t="s">
        <v>130</v>
      </c>
      <c r="E106" s="40" t="s">
        <v>130</v>
      </c>
      <c r="F106" s="40" t="s">
        <v>130</v>
      </c>
    </row>
    <row r="107" spans="1:6" ht="12">
      <c r="B107" s="21" t="s">
        <v>131</v>
      </c>
    </row>
    <row r="108" spans="1:6" ht="12">
      <c r="B108" s="21" t="s">
        <v>131</v>
      </c>
    </row>
    <row r="109" spans="1:6" ht="12.75" thickBot="1">
      <c r="B109" s="21" t="s">
        <v>131</v>
      </c>
    </row>
    <row r="110" spans="1:6" ht="12">
      <c r="B110" s="50" t="s">
        <v>132</v>
      </c>
      <c r="C110" s="50"/>
      <c r="D110" s="50"/>
      <c r="E110" s="50"/>
      <c r="F110" s="50"/>
    </row>
    <row r="111" spans="1:6" ht="12"/>
    <row r="112" spans="1:6" ht="15.75">
      <c r="A112" s="9" t="s">
        <v>133</v>
      </c>
    </row>
    <row r="113" spans="1:9" ht="12">
      <c r="B113" s="69"/>
      <c r="C113" s="70"/>
      <c r="D113" s="70" t="s">
        <v>134</v>
      </c>
      <c r="E113" s="70"/>
      <c r="F113" s="70" t="s">
        <v>134</v>
      </c>
      <c r="G113" s="70"/>
    </row>
    <row r="114" spans="1:9" ht="24">
      <c r="B114" s="69" t="s">
        <v>129</v>
      </c>
      <c r="C114" s="71" t="s">
        <v>135</v>
      </c>
      <c r="D114" s="40" t="s">
        <v>130</v>
      </c>
      <c r="E114" s="40" t="s">
        <v>130</v>
      </c>
      <c r="F114" s="40" t="s">
        <v>130</v>
      </c>
      <c r="G114" s="40" t="s">
        <v>130</v>
      </c>
    </row>
    <row r="115" spans="1:9" ht="12">
      <c r="B115" s="21" t="s">
        <v>131</v>
      </c>
      <c r="D115" s="72" t="s">
        <v>136</v>
      </c>
      <c r="E115" s="72"/>
      <c r="F115" s="73" t="s">
        <v>137</v>
      </c>
      <c r="G115" s="73"/>
    </row>
    <row r="116" spans="1:9" ht="12.75" thickBot="1">
      <c r="B116" s="24" t="s">
        <v>138</v>
      </c>
      <c r="D116" s="72"/>
      <c r="E116" s="72"/>
      <c r="F116" s="73"/>
      <c r="G116" s="73"/>
    </row>
    <row r="117" spans="1:9" ht="12.75" thickBot="1">
      <c r="B117" s="74" t="s">
        <v>139</v>
      </c>
      <c r="C117" s="75"/>
      <c r="D117" s="75"/>
      <c r="E117" s="75"/>
      <c r="F117" s="76"/>
      <c r="G117" s="76"/>
    </row>
    <row r="118" spans="1:9" ht="12">
      <c r="B118" s="77" t="s">
        <v>140</v>
      </c>
      <c r="C118" s="78"/>
      <c r="D118" s="78"/>
      <c r="E118" s="78"/>
      <c r="F118" s="78"/>
      <c r="G118" s="78"/>
    </row>
    <row r="119" spans="1:9" ht="12"/>
    <row r="120" spans="1:9" ht="12"/>
    <row r="121" spans="1:9" ht="12">
      <c r="A121" t="s">
        <v>141</v>
      </c>
    </row>
    <row r="122" spans="1:9" ht="12">
      <c r="A122" s="17" t="s">
        <v>142</v>
      </c>
    </row>
    <row r="123" spans="1:9" ht="12"/>
    <row r="124" spans="1:9" ht="15.75">
      <c r="A124" s="9" t="s">
        <v>143</v>
      </c>
    </row>
    <row r="125" spans="1:9" ht="12">
      <c r="B125" s="69" t="s">
        <v>144</v>
      </c>
      <c r="C125" s="71" t="s">
        <v>145</v>
      </c>
      <c r="D125" s="71" t="s">
        <v>19</v>
      </c>
      <c r="E125" s="40">
        <v>2000</v>
      </c>
      <c r="F125" s="40">
        <v>2001</v>
      </c>
      <c r="G125" s="40">
        <v>2002</v>
      </c>
      <c r="H125" s="40">
        <v>2003</v>
      </c>
      <c r="I125" s="79" t="s">
        <v>146</v>
      </c>
    </row>
    <row r="126" spans="1:9" ht="12">
      <c r="B126" s="21" t="s">
        <v>147</v>
      </c>
      <c r="C126" t="s">
        <v>148</v>
      </c>
      <c r="D126" s="17" t="s">
        <v>149</v>
      </c>
      <c r="E126" s="80">
        <v>1000000</v>
      </c>
      <c r="F126" s="28">
        <f t="shared" ref="F126:G128" si="0">E126+($H126-$E126)/3</f>
        <v>1000000</v>
      </c>
      <c r="G126" s="28">
        <f t="shared" si="0"/>
        <v>1000000</v>
      </c>
      <c r="H126" s="22">
        <v>1000000</v>
      </c>
    </row>
    <row r="127" spans="1:9" ht="12">
      <c r="B127" s="21" t="s">
        <v>150</v>
      </c>
      <c r="C127" t="s">
        <v>148</v>
      </c>
      <c r="D127" s="17" t="s">
        <v>149</v>
      </c>
      <c r="E127" s="26">
        <v>100000</v>
      </c>
      <c r="F127" s="28">
        <f t="shared" si="0"/>
        <v>133333.33333333334</v>
      </c>
      <c r="G127" s="28">
        <f t="shared" si="0"/>
        <v>166666.66666666669</v>
      </c>
      <c r="H127" s="22">
        <v>200000</v>
      </c>
    </row>
    <row r="128" spans="1:9" ht="12">
      <c r="B128" s="21" t="s">
        <v>151</v>
      </c>
      <c r="C128" t="s">
        <v>148</v>
      </c>
      <c r="D128" s="17" t="s">
        <v>149</v>
      </c>
      <c r="E128" s="27">
        <v>50000</v>
      </c>
      <c r="F128" s="28">
        <f t="shared" si="0"/>
        <v>100000</v>
      </c>
      <c r="G128" s="28">
        <f t="shared" si="0"/>
        <v>150000</v>
      </c>
      <c r="H128" s="22">
        <v>200000</v>
      </c>
    </row>
    <row r="129" spans="1:9" ht="12">
      <c r="B129" s="77" t="s">
        <v>64</v>
      </c>
      <c r="C129" s="78" t="s">
        <v>148</v>
      </c>
      <c r="D129" s="78"/>
      <c r="E129" s="81">
        <f>SUM(E126:E128)</f>
        <v>1150000</v>
      </c>
      <c r="F129" s="81">
        <f>SUM(F126:F128)</f>
        <v>1233333.3333333333</v>
      </c>
      <c r="G129" s="81">
        <f>SUM(G126:G128)</f>
        <v>1316666.6666666667</v>
      </c>
      <c r="H129" s="81">
        <f>SUM(H126:H128)</f>
        <v>1400000</v>
      </c>
    </row>
    <row r="130" spans="1:9" ht="12"/>
    <row r="131" spans="1:9" ht="15.75">
      <c r="A131" s="9" t="s">
        <v>143</v>
      </c>
    </row>
    <row r="132" spans="1:9" ht="12">
      <c r="B132" s="69" t="s">
        <v>144</v>
      </c>
      <c r="C132" s="71" t="s">
        <v>145</v>
      </c>
      <c r="D132" s="71" t="s">
        <v>19</v>
      </c>
      <c r="E132" s="40">
        <v>2000</v>
      </c>
      <c r="F132" s="40">
        <v>2001</v>
      </c>
      <c r="G132" s="40">
        <v>2002</v>
      </c>
      <c r="H132" s="40">
        <v>2003</v>
      </c>
    </row>
    <row r="133" spans="1:9" ht="12">
      <c r="B133" s="21" t="s">
        <v>147</v>
      </c>
      <c r="C133" t="s">
        <v>148</v>
      </c>
      <c r="D133" s="17" t="s">
        <v>152</v>
      </c>
      <c r="E133" s="29">
        <f t="array" ref="E133:H135">$E$126:$H$128</f>
        <v>1000000</v>
      </c>
      <c r="F133" s="29">
        <v>1000000</v>
      </c>
      <c r="G133" s="29">
        <v>1000000</v>
      </c>
      <c r="H133" s="29">
        <v>1000000</v>
      </c>
    </row>
    <row r="134" spans="1:9" ht="12">
      <c r="B134" s="21" t="s">
        <v>150</v>
      </c>
      <c r="C134" t="s">
        <v>148</v>
      </c>
      <c r="D134" s="17" t="s">
        <v>152</v>
      </c>
      <c r="E134" s="29">
        <v>100000</v>
      </c>
      <c r="F134" s="29">
        <v>133333.33333333334</v>
      </c>
      <c r="G134" s="29">
        <v>166666.66666666669</v>
      </c>
      <c r="H134" s="29">
        <v>200000</v>
      </c>
    </row>
    <row r="135" spans="1:9" ht="12">
      <c r="B135" s="21" t="s">
        <v>151</v>
      </c>
      <c r="C135" t="s">
        <v>148</v>
      </c>
      <c r="D135" s="17" t="s">
        <v>153</v>
      </c>
      <c r="E135" s="31">
        <v>50000</v>
      </c>
      <c r="F135" s="31">
        <v>100000</v>
      </c>
      <c r="G135" s="31">
        <v>150000</v>
      </c>
      <c r="H135" s="31">
        <v>200000</v>
      </c>
    </row>
    <row r="136" spans="1:9" ht="12">
      <c r="B136" s="77" t="s">
        <v>64</v>
      </c>
      <c r="C136" s="78" t="s">
        <v>148</v>
      </c>
      <c r="D136" s="78"/>
      <c r="E136" s="81">
        <f>SUM(E133:E135)</f>
        <v>1150000</v>
      </c>
      <c r="F136" s="81">
        <f>SUM(F133:F135)</f>
        <v>1233333.3333333333</v>
      </c>
      <c r="G136" s="81">
        <f>SUM(G133:G135)</f>
        <v>1316666.6666666667</v>
      </c>
      <c r="H136" s="81">
        <f>SUM(H133:H135)</f>
        <v>1400000</v>
      </c>
    </row>
    <row r="137" spans="1:9" ht="12"/>
    <row r="138" spans="1:9" ht="12"/>
    <row r="139" spans="1:9" ht="15.75">
      <c r="A139" s="9" t="s">
        <v>154</v>
      </c>
    </row>
    <row r="140" spans="1:9" ht="12">
      <c r="B140" s="69" t="s">
        <v>144</v>
      </c>
      <c r="C140" s="71" t="s">
        <v>145</v>
      </c>
      <c r="D140" s="71" t="s">
        <v>19</v>
      </c>
      <c r="E140" s="40">
        <v>2000</v>
      </c>
      <c r="F140" s="40">
        <v>2001</v>
      </c>
      <c r="G140" s="40">
        <v>2002</v>
      </c>
      <c r="H140" s="40">
        <v>2003</v>
      </c>
    </row>
    <row r="141" spans="1:9" ht="12">
      <c r="B141" s="21" t="s">
        <v>147</v>
      </c>
      <c r="C141" t="s">
        <v>148</v>
      </c>
      <c r="D141" s="17"/>
      <c r="E141" s="25"/>
      <c r="F141" s="32">
        <f t="shared" ref="F141:H143" si="1">(F133+E133)/2</f>
        <v>1000000</v>
      </c>
      <c r="G141" s="32">
        <f t="shared" si="1"/>
        <v>1000000</v>
      </c>
      <c r="H141" s="32">
        <f t="shared" si="1"/>
        <v>1000000</v>
      </c>
    </row>
    <row r="142" spans="1:9" ht="12">
      <c r="B142" s="21" t="s">
        <v>150</v>
      </c>
      <c r="C142" t="s">
        <v>148</v>
      </c>
      <c r="D142" s="17"/>
      <c r="E142" s="25"/>
      <c r="F142" s="32">
        <f t="shared" si="1"/>
        <v>116666.66666666667</v>
      </c>
      <c r="G142" s="32">
        <f t="shared" si="1"/>
        <v>150000</v>
      </c>
      <c r="H142" s="32">
        <f t="shared" si="1"/>
        <v>183333.33333333334</v>
      </c>
    </row>
    <row r="143" spans="1:9" ht="12">
      <c r="B143" s="21" t="s">
        <v>151</v>
      </c>
      <c r="C143" t="s">
        <v>148</v>
      </c>
      <c r="D143" s="17"/>
      <c r="E143" s="25"/>
      <c r="F143" s="32">
        <f t="shared" si="1"/>
        <v>75000</v>
      </c>
      <c r="G143" s="32">
        <f t="shared" si="1"/>
        <v>125000</v>
      </c>
      <c r="H143" s="32">
        <f t="shared" si="1"/>
        <v>175000</v>
      </c>
    </row>
    <row r="144" spans="1:9" ht="12">
      <c r="B144" s="82" t="s">
        <v>64</v>
      </c>
      <c r="C144" s="83" t="s">
        <v>148</v>
      </c>
      <c r="D144" s="83"/>
      <c r="E144" s="35"/>
      <c r="F144" s="35">
        <f>SUM(F141:F143)</f>
        <v>1191666.6666666667</v>
      </c>
      <c r="G144" s="35">
        <f>SUM(G141:G143)</f>
        <v>1275000</v>
      </c>
      <c r="H144" s="35">
        <f>SUM(H141:H143)</f>
        <v>1358333.3333333333</v>
      </c>
      <c r="I144" s="79" t="s">
        <v>155</v>
      </c>
    </row>
  </sheetData>
  <conditionalFormatting sqref="C43">
    <cfRule type="cellIs" dxfId="16" priority="1" stopIfTrue="1" operator="notEqual">
      <formula>0</formula>
    </cfRule>
  </conditionalFormatting>
  <dataValidations count="2">
    <dataValidation type="list" showInputMessage="1" showErrorMessage="1" errorTitle="Input Parameter" error="Please select value from list" promptTitle="Input Parameter" prompt="Select from list" sqref="C16" xr:uid="{4076F044-52D4-40BD-AAE2-29259D1EDE25}">
      <formula1>$C$17:$C$19</formula1>
    </dataValidation>
    <dataValidation type="decimal" showInputMessage="1" showErrorMessage="1" errorTitle="Input Parameter" error="Value must lie between 100 and 300" promptTitle="Input Parameter" prompt="Value must lie between 100 and 300" sqref="C12" xr:uid="{C96C6A38-D20D-45D6-B944-8F698A6878E8}">
      <formula1>C13</formula1>
      <formula2>C14</formula2>
    </dataValidation>
  </dataValidations>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oddFooter xml:space="preserve">&amp;L&amp;F : &amp;A&amp;CPrinted at &amp;T on &amp;D&amp;RCommercial in confidence © Analysys Mason </oddFooter>
  </headerFooter>
  <rowBreaks count="3" manualBreakCount="3">
    <brk id="54" max="16383" man="1"/>
    <brk id="86" max="16383" man="1"/>
    <brk id="1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011AD-50BC-45D7-B1B7-1490E463CA34}">
  <sheetPr>
    <pageSetUpPr autoPageBreaks="0"/>
  </sheetPr>
  <dimension ref="A1:V40"/>
  <sheetViews>
    <sheetView showGridLines="0" defaultGridColor="0" colorId="22" zoomScaleNormal="100" workbookViewId="0">
      <pane ySplit="1" topLeftCell="A2" activePane="bottomLeft" state="frozen"/>
      <selection activeCell="D111" sqref="D111"/>
      <selection pane="bottomLeft" sqref="A1:XFD1048576"/>
    </sheetView>
  </sheetViews>
  <sheetFormatPr baseColWidth="10" defaultColWidth="12.85546875" defaultRowHeight="11.45" customHeight="1"/>
  <cols>
    <col min="1" max="1" width="6.85546875" customWidth="1"/>
    <col min="4" max="4" width="6.85546875" customWidth="1"/>
    <col min="5" max="5" width="52.42578125" bestFit="1" customWidth="1"/>
    <col min="7" max="7" width="6.85546875" customWidth="1"/>
    <col min="8" max="8" width="52.42578125" bestFit="1" customWidth="1"/>
    <col min="9" max="9" width="12.85546875" customWidth="1"/>
    <col min="10" max="10" width="6.85546875" customWidth="1"/>
    <col min="11" max="11" width="52.42578125" bestFit="1" customWidth="1"/>
    <col min="13" max="13" width="6.85546875" customWidth="1"/>
    <col min="14" max="14" width="42" bestFit="1" customWidth="1"/>
    <col min="16" max="16" width="6.85546875" customWidth="1"/>
    <col min="17" max="17" width="34.85546875" bestFit="1" customWidth="1"/>
    <col min="19" max="19" width="23.85546875" customWidth="1"/>
    <col min="21" max="21" width="12.85546875" customWidth="1"/>
    <col min="22" max="22" width="48.42578125" bestFit="1" customWidth="1"/>
    <col min="23" max="24" width="12.85546875" customWidth="1"/>
  </cols>
  <sheetData>
    <row r="1" spans="1:22" ht="33.75" customHeight="1">
      <c r="A1" s="84"/>
      <c r="B1" s="84"/>
      <c r="C1" s="84" t="s">
        <v>156</v>
      </c>
      <c r="D1" s="85"/>
      <c r="E1" s="84"/>
      <c r="F1" s="84"/>
      <c r="G1" s="85"/>
      <c r="H1" s="84"/>
      <c r="J1" s="85"/>
      <c r="K1" s="84"/>
      <c r="L1" s="84"/>
      <c r="M1" s="85"/>
      <c r="N1" s="84"/>
      <c r="O1" s="84"/>
      <c r="P1" s="85"/>
      <c r="Q1" s="84"/>
      <c r="R1" s="84"/>
      <c r="S1" s="84"/>
      <c r="T1" s="84"/>
      <c r="U1" s="84"/>
      <c r="V1" s="84"/>
    </row>
    <row r="2" spans="1:22" ht="12">
      <c r="D2" s="16"/>
      <c r="E2" s="86"/>
      <c r="G2" s="16"/>
      <c r="H2" s="86"/>
      <c r="J2" s="16"/>
      <c r="K2" s="86"/>
      <c r="M2" s="16"/>
      <c r="N2" s="86"/>
      <c r="P2" s="16"/>
      <c r="Q2" s="86"/>
    </row>
    <row r="3" spans="1:22" ht="24">
      <c r="B3" s="40" t="s">
        <v>157</v>
      </c>
      <c r="D3" s="40" t="s">
        <v>158</v>
      </c>
      <c r="E3" s="40" t="s">
        <v>159</v>
      </c>
      <c r="G3" s="40" t="s">
        <v>158</v>
      </c>
      <c r="H3" s="40" t="s">
        <v>160</v>
      </c>
      <c r="J3" s="40" t="s">
        <v>158</v>
      </c>
      <c r="K3" s="40" t="s">
        <v>161</v>
      </c>
      <c r="M3" s="40" t="s">
        <v>158</v>
      </c>
      <c r="N3" s="40" t="s">
        <v>162</v>
      </c>
      <c r="P3" s="40" t="s">
        <v>158</v>
      </c>
      <c r="Q3" s="40" t="s">
        <v>163</v>
      </c>
      <c r="S3" s="40" t="s">
        <v>164</v>
      </c>
    </row>
    <row r="4" spans="1:22" ht="12">
      <c r="B4" s="87">
        <v>2018</v>
      </c>
      <c r="D4" s="88">
        <v>1</v>
      </c>
      <c r="E4" s="89" t="s">
        <v>165</v>
      </c>
      <c r="G4" s="88">
        <v>1</v>
      </c>
      <c r="H4" s="89" t="s">
        <v>166</v>
      </c>
      <c r="J4" s="88">
        <v>1</v>
      </c>
      <c r="K4" s="89" t="s">
        <v>165</v>
      </c>
      <c r="M4" s="88">
        <v>1</v>
      </c>
      <c r="N4" s="89" t="s">
        <v>167</v>
      </c>
      <c r="P4" s="88">
        <v>1</v>
      </c>
      <c r="Q4" s="89" t="s">
        <v>165</v>
      </c>
      <c r="S4" s="90">
        <v>1024</v>
      </c>
    </row>
    <row r="5" spans="1:22" ht="12">
      <c r="B5" s="91">
        <f t="shared" ref="B5:B10" si="0">1+B4</f>
        <v>2019</v>
      </c>
      <c r="D5" s="92">
        <f>1+D4</f>
        <v>2</v>
      </c>
      <c r="E5" s="89" t="s">
        <v>168</v>
      </c>
      <c r="G5" s="92">
        <v>2</v>
      </c>
      <c r="H5" s="89" t="s">
        <v>169</v>
      </c>
      <c r="J5" s="92">
        <f>1+J4</f>
        <v>2</v>
      </c>
      <c r="K5" s="89" t="s">
        <v>168</v>
      </c>
      <c r="M5" s="92">
        <f>1+M4</f>
        <v>2</v>
      </c>
      <c r="N5" s="89" t="s">
        <v>170</v>
      </c>
      <c r="P5" s="92">
        <v>2</v>
      </c>
      <c r="Q5" s="89" t="s">
        <v>168</v>
      </c>
      <c r="S5" s="79" t="s">
        <v>171</v>
      </c>
      <c r="V5" s="40" t="s">
        <v>172</v>
      </c>
    </row>
    <row r="6" spans="1:22" ht="12">
      <c r="B6" s="91">
        <f t="shared" si="0"/>
        <v>2020</v>
      </c>
      <c r="D6" s="92">
        <f t="shared" ref="D6:D39" si="1">1+D5</f>
        <v>3</v>
      </c>
      <c r="E6" s="89" t="s">
        <v>166</v>
      </c>
      <c r="G6" s="92">
        <v>3</v>
      </c>
      <c r="H6" s="89" t="s">
        <v>173</v>
      </c>
      <c r="J6" s="92">
        <f t="shared" ref="J6:J23" si="2">1+J5</f>
        <v>3</v>
      </c>
      <c r="K6" s="89" t="s">
        <v>166</v>
      </c>
      <c r="M6" s="92">
        <f t="shared" ref="M6:M19" si="3">1+M5</f>
        <v>3</v>
      </c>
      <c r="N6" s="89" t="s">
        <v>174</v>
      </c>
      <c r="P6" s="16"/>
      <c r="Q6" s="93" t="s">
        <v>175</v>
      </c>
      <c r="V6" s="87" t="s">
        <v>176</v>
      </c>
    </row>
    <row r="7" spans="1:22" ht="12">
      <c r="B7" s="91">
        <f t="shared" si="0"/>
        <v>2021</v>
      </c>
      <c r="D7" s="92">
        <f t="shared" si="1"/>
        <v>4</v>
      </c>
      <c r="E7" s="89" t="s">
        <v>169</v>
      </c>
      <c r="G7" s="92">
        <v>4</v>
      </c>
      <c r="H7" s="89" t="s">
        <v>177</v>
      </c>
      <c r="J7" s="92">
        <f t="shared" si="2"/>
        <v>4</v>
      </c>
      <c r="K7" s="89" t="s">
        <v>169</v>
      </c>
      <c r="M7" s="92">
        <f t="shared" si="3"/>
        <v>4</v>
      </c>
      <c r="N7" s="89" t="s">
        <v>178</v>
      </c>
      <c r="P7" s="16"/>
      <c r="Q7" s="86"/>
      <c r="V7" s="87" t="s">
        <v>179</v>
      </c>
    </row>
    <row r="8" spans="1:22" ht="12">
      <c r="B8" s="91">
        <f t="shared" si="0"/>
        <v>2022</v>
      </c>
      <c r="D8" s="92">
        <f t="shared" si="1"/>
        <v>5</v>
      </c>
      <c r="E8" s="89" t="s">
        <v>173</v>
      </c>
      <c r="G8" s="92">
        <v>5</v>
      </c>
      <c r="H8" s="89" t="s">
        <v>180</v>
      </c>
      <c r="J8" s="92">
        <f t="shared" si="2"/>
        <v>5</v>
      </c>
      <c r="K8" s="89" t="s">
        <v>173</v>
      </c>
      <c r="M8" s="92">
        <f t="shared" si="3"/>
        <v>5</v>
      </c>
      <c r="N8" s="89" t="s">
        <v>181</v>
      </c>
      <c r="P8" s="16"/>
      <c r="Q8" s="86"/>
    </row>
    <row r="9" spans="1:22" ht="12">
      <c r="B9" s="91">
        <f t="shared" si="0"/>
        <v>2023</v>
      </c>
      <c r="D9" s="92">
        <f t="shared" si="1"/>
        <v>6</v>
      </c>
      <c r="E9" s="89" t="s">
        <v>177</v>
      </c>
      <c r="G9" s="92">
        <v>6</v>
      </c>
      <c r="H9" s="89" t="s">
        <v>182</v>
      </c>
      <c r="J9" s="92">
        <f t="shared" si="2"/>
        <v>6</v>
      </c>
      <c r="K9" s="89" t="s">
        <v>177</v>
      </c>
      <c r="M9" s="92">
        <f t="shared" si="3"/>
        <v>6</v>
      </c>
      <c r="N9" s="89" t="s">
        <v>183</v>
      </c>
      <c r="P9" s="16"/>
      <c r="Q9" s="86"/>
    </row>
    <row r="10" spans="1:22" ht="12">
      <c r="B10" s="91">
        <f t="shared" si="0"/>
        <v>2024</v>
      </c>
      <c r="D10" s="92">
        <f t="shared" si="1"/>
        <v>7</v>
      </c>
      <c r="E10" s="89" t="s">
        <v>180</v>
      </c>
      <c r="G10" s="92">
        <v>7</v>
      </c>
      <c r="H10" s="89" t="s">
        <v>184</v>
      </c>
      <c r="J10" s="92">
        <f t="shared" si="2"/>
        <v>7</v>
      </c>
      <c r="K10" s="89" t="s">
        <v>180</v>
      </c>
      <c r="M10" s="92">
        <f t="shared" si="3"/>
        <v>7</v>
      </c>
      <c r="N10" s="89" t="s">
        <v>185</v>
      </c>
      <c r="P10" s="16"/>
      <c r="Q10" s="86"/>
    </row>
    <row r="11" spans="1:22" ht="12">
      <c r="B11" s="79" t="s">
        <v>186</v>
      </c>
      <c r="D11" s="92">
        <f t="shared" si="1"/>
        <v>8</v>
      </c>
      <c r="E11" s="89" t="s">
        <v>182</v>
      </c>
      <c r="G11" s="92">
        <v>8</v>
      </c>
      <c r="H11" s="89" t="s">
        <v>187</v>
      </c>
      <c r="J11" s="92">
        <f t="shared" si="2"/>
        <v>8</v>
      </c>
      <c r="K11" s="89" t="s">
        <v>182</v>
      </c>
      <c r="M11" s="92">
        <f t="shared" si="3"/>
        <v>8</v>
      </c>
      <c r="N11" s="89" t="s">
        <v>188</v>
      </c>
      <c r="P11" s="16"/>
      <c r="Q11" s="86"/>
    </row>
    <row r="12" spans="1:22" ht="12">
      <c r="D12" s="92">
        <f t="shared" si="1"/>
        <v>9</v>
      </c>
      <c r="E12" s="89" t="s">
        <v>184</v>
      </c>
      <c r="G12" s="92">
        <v>9</v>
      </c>
      <c r="H12" s="89" t="s">
        <v>189</v>
      </c>
      <c r="J12" s="92">
        <f t="shared" si="2"/>
        <v>9</v>
      </c>
      <c r="K12" s="89" t="s">
        <v>184</v>
      </c>
      <c r="M12" s="92">
        <f t="shared" si="3"/>
        <v>9</v>
      </c>
      <c r="N12" s="89" t="s">
        <v>190</v>
      </c>
      <c r="P12" s="16"/>
      <c r="Q12" s="86"/>
    </row>
    <row r="13" spans="1:22" ht="12">
      <c r="D13" s="92">
        <f t="shared" si="1"/>
        <v>10</v>
      </c>
      <c r="E13" s="89" t="s">
        <v>187</v>
      </c>
      <c r="G13" s="92">
        <v>10</v>
      </c>
      <c r="H13" s="89" t="s">
        <v>191</v>
      </c>
      <c r="J13" s="92">
        <f t="shared" si="2"/>
        <v>10</v>
      </c>
      <c r="K13" s="89" t="s">
        <v>187</v>
      </c>
      <c r="M13" s="92">
        <f t="shared" si="3"/>
        <v>10</v>
      </c>
      <c r="N13" s="89" t="s">
        <v>192</v>
      </c>
      <c r="P13" s="16"/>
      <c r="Q13" s="86"/>
    </row>
    <row r="14" spans="1:22" ht="12">
      <c r="D14" s="92">
        <f t="shared" si="1"/>
        <v>11</v>
      </c>
      <c r="E14" s="89" t="s">
        <v>189</v>
      </c>
      <c r="G14" s="92">
        <v>11</v>
      </c>
      <c r="H14" s="89" t="s">
        <v>167</v>
      </c>
      <c r="J14" s="92">
        <f t="shared" si="2"/>
        <v>11</v>
      </c>
      <c r="K14" s="89" t="s">
        <v>189</v>
      </c>
      <c r="M14" s="92">
        <f t="shared" si="3"/>
        <v>11</v>
      </c>
      <c r="N14" s="89" t="s">
        <v>193</v>
      </c>
      <c r="P14" s="16"/>
      <c r="Q14" s="86"/>
    </row>
    <row r="15" spans="1:22" ht="12">
      <c r="D15" s="92">
        <f t="shared" si="1"/>
        <v>12</v>
      </c>
      <c r="E15" s="89" t="s">
        <v>191</v>
      </c>
      <c r="G15" s="92">
        <v>12</v>
      </c>
      <c r="H15" s="89" t="s">
        <v>170</v>
      </c>
      <c r="J15" s="92">
        <f t="shared" si="2"/>
        <v>12</v>
      </c>
      <c r="K15" s="89" t="s">
        <v>191</v>
      </c>
      <c r="M15" s="92">
        <f t="shared" si="3"/>
        <v>12</v>
      </c>
      <c r="N15" s="89" t="s">
        <v>194</v>
      </c>
      <c r="P15" s="16"/>
      <c r="Q15" s="86"/>
    </row>
    <row r="16" spans="1:22" ht="12">
      <c r="D16" s="92">
        <f t="shared" si="1"/>
        <v>13</v>
      </c>
      <c r="E16" s="89" t="s">
        <v>167</v>
      </c>
      <c r="G16" s="92">
        <v>13</v>
      </c>
      <c r="H16" s="89" t="s">
        <v>174</v>
      </c>
      <c r="J16" s="92">
        <f t="shared" si="2"/>
        <v>13</v>
      </c>
      <c r="K16" s="89" t="s">
        <v>195</v>
      </c>
      <c r="M16" s="92">
        <f t="shared" si="3"/>
        <v>13</v>
      </c>
      <c r="N16" s="89" t="s">
        <v>196</v>
      </c>
      <c r="P16" s="16"/>
      <c r="Q16" s="86"/>
    </row>
    <row r="17" spans="4:17" ht="12">
      <c r="D17" s="92">
        <f t="shared" si="1"/>
        <v>14</v>
      </c>
      <c r="E17" s="89" t="s">
        <v>170</v>
      </c>
      <c r="G17" s="92">
        <v>14</v>
      </c>
      <c r="H17" s="89" t="s">
        <v>178</v>
      </c>
      <c r="J17" s="92">
        <f t="shared" si="2"/>
        <v>14</v>
      </c>
      <c r="K17" s="89" t="s">
        <v>197</v>
      </c>
      <c r="M17" s="92">
        <f t="shared" si="3"/>
        <v>14</v>
      </c>
      <c r="N17" s="89" t="s">
        <v>198</v>
      </c>
      <c r="P17" s="16"/>
      <c r="Q17" s="86"/>
    </row>
    <row r="18" spans="4:17" ht="12">
      <c r="D18" s="92">
        <f t="shared" si="1"/>
        <v>15</v>
      </c>
      <c r="E18" s="89" t="s">
        <v>174</v>
      </c>
      <c r="G18" s="92">
        <v>15</v>
      </c>
      <c r="H18" s="89" t="s">
        <v>181</v>
      </c>
      <c r="J18" s="92">
        <f t="shared" si="2"/>
        <v>15</v>
      </c>
      <c r="K18" s="89" t="s">
        <v>199</v>
      </c>
      <c r="M18" s="92">
        <f t="shared" si="3"/>
        <v>15</v>
      </c>
      <c r="N18" s="89" t="s">
        <v>200</v>
      </c>
      <c r="P18" s="16"/>
      <c r="Q18" s="86"/>
    </row>
    <row r="19" spans="4:17" ht="12">
      <c r="D19" s="92">
        <f t="shared" si="1"/>
        <v>16</v>
      </c>
      <c r="E19" s="89" t="s">
        <v>178</v>
      </c>
      <c r="G19" s="92">
        <v>16</v>
      </c>
      <c r="H19" s="89" t="s">
        <v>183</v>
      </c>
      <c r="J19" s="92">
        <f t="shared" si="2"/>
        <v>16</v>
      </c>
      <c r="K19" s="89" t="s">
        <v>201</v>
      </c>
      <c r="M19" s="92">
        <f t="shared" si="3"/>
        <v>16</v>
      </c>
      <c r="N19" s="89" t="s">
        <v>202</v>
      </c>
      <c r="P19" s="16"/>
      <c r="Q19" s="86"/>
    </row>
    <row r="20" spans="4:17" ht="12">
      <c r="D20" s="92">
        <f t="shared" si="1"/>
        <v>17</v>
      </c>
      <c r="E20" s="89" t="s">
        <v>181</v>
      </c>
      <c r="G20" s="92">
        <v>17</v>
      </c>
      <c r="H20" s="89" t="s">
        <v>185</v>
      </c>
      <c r="J20" s="92">
        <f t="shared" si="2"/>
        <v>17</v>
      </c>
      <c r="K20" s="89" t="s">
        <v>203</v>
      </c>
      <c r="M20" s="16"/>
      <c r="N20" s="93" t="s">
        <v>204</v>
      </c>
      <c r="P20" s="16"/>
      <c r="Q20" s="86"/>
    </row>
    <row r="21" spans="4:17" ht="12">
      <c r="D21" s="92">
        <f t="shared" si="1"/>
        <v>18</v>
      </c>
      <c r="E21" s="89" t="s">
        <v>183</v>
      </c>
      <c r="G21" s="92">
        <v>18</v>
      </c>
      <c r="H21" s="89" t="s">
        <v>195</v>
      </c>
      <c r="J21" s="92">
        <f t="shared" si="2"/>
        <v>18</v>
      </c>
      <c r="K21" s="89" t="s">
        <v>205</v>
      </c>
      <c r="M21" s="16"/>
      <c r="N21" s="86"/>
      <c r="P21" s="16"/>
      <c r="Q21" s="86"/>
    </row>
    <row r="22" spans="4:17" ht="12">
      <c r="D22" s="92">
        <f t="shared" si="1"/>
        <v>19</v>
      </c>
      <c r="E22" s="89" t="s">
        <v>185</v>
      </c>
      <c r="G22" s="92">
        <v>19</v>
      </c>
      <c r="H22" s="89" t="s">
        <v>197</v>
      </c>
      <c r="J22" s="92">
        <f t="shared" si="2"/>
        <v>19</v>
      </c>
      <c r="K22" s="89" t="s">
        <v>206</v>
      </c>
      <c r="M22" s="16"/>
      <c r="N22" s="86"/>
      <c r="P22" s="16"/>
      <c r="Q22" s="86"/>
    </row>
    <row r="23" spans="4:17" ht="12">
      <c r="D23" s="92">
        <f t="shared" si="1"/>
        <v>20</v>
      </c>
      <c r="E23" s="89" t="s">
        <v>195</v>
      </c>
      <c r="G23" s="92">
        <v>20</v>
      </c>
      <c r="H23" s="89" t="s">
        <v>199</v>
      </c>
      <c r="J23" s="92">
        <f t="shared" si="2"/>
        <v>20</v>
      </c>
      <c r="K23" s="89" t="s">
        <v>207</v>
      </c>
      <c r="M23" s="16"/>
      <c r="N23" s="86"/>
      <c r="P23" s="16"/>
      <c r="Q23" s="86"/>
    </row>
    <row r="24" spans="4:17" ht="12">
      <c r="D24" s="92">
        <f t="shared" si="1"/>
        <v>21</v>
      </c>
      <c r="E24" s="89" t="s">
        <v>197</v>
      </c>
      <c r="G24" s="92">
        <v>21</v>
      </c>
      <c r="H24" s="89" t="s">
        <v>201</v>
      </c>
      <c r="J24" s="16"/>
      <c r="K24" s="93" t="s">
        <v>208</v>
      </c>
      <c r="M24" s="16"/>
      <c r="N24" s="86"/>
      <c r="P24" s="16"/>
      <c r="Q24" s="86"/>
    </row>
    <row r="25" spans="4:17" ht="12">
      <c r="D25" s="92">
        <f t="shared" si="1"/>
        <v>22</v>
      </c>
      <c r="E25" s="89" t="s">
        <v>199</v>
      </c>
      <c r="G25" s="92">
        <v>22</v>
      </c>
      <c r="H25" s="89" t="s">
        <v>203</v>
      </c>
      <c r="J25" s="16"/>
      <c r="K25" s="86"/>
      <c r="M25" s="16"/>
      <c r="N25" s="86"/>
      <c r="P25" s="16"/>
      <c r="Q25" s="86"/>
    </row>
    <row r="26" spans="4:17" ht="12">
      <c r="D26" s="92">
        <f t="shared" si="1"/>
        <v>23</v>
      </c>
      <c r="E26" s="89" t="s">
        <v>201</v>
      </c>
      <c r="G26" s="92">
        <v>23</v>
      </c>
      <c r="H26" s="89" t="s">
        <v>205</v>
      </c>
      <c r="J26" s="16"/>
      <c r="K26" s="86"/>
      <c r="M26" s="16"/>
      <c r="N26" s="86"/>
      <c r="P26" s="16"/>
      <c r="Q26" s="86"/>
    </row>
    <row r="27" spans="4:17" ht="12">
      <c r="D27" s="92">
        <f t="shared" si="1"/>
        <v>24</v>
      </c>
      <c r="E27" s="89" t="s">
        <v>203</v>
      </c>
      <c r="G27" s="92">
        <v>24</v>
      </c>
      <c r="H27" s="89" t="s">
        <v>206</v>
      </c>
      <c r="J27" s="16"/>
      <c r="K27" s="86"/>
      <c r="M27" s="16"/>
      <c r="N27" s="86"/>
      <c r="P27" s="16"/>
      <c r="Q27" s="86"/>
    </row>
    <row r="28" spans="4:17" ht="12">
      <c r="D28" s="92">
        <f t="shared" si="1"/>
        <v>25</v>
      </c>
      <c r="E28" s="89" t="s">
        <v>205</v>
      </c>
      <c r="G28" s="92">
        <v>25</v>
      </c>
      <c r="H28" s="89" t="s">
        <v>207</v>
      </c>
      <c r="J28" s="16"/>
      <c r="K28" s="86"/>
      <c r="M28" s="16"/>
      <c r="N28" s="86"/>
      <c r="P28" s="16"/>
      <c r="Q28" s="86"/>
    </row>
    <row r="29" spans="4:17" ht="12">
      <c r="D29" s="92">
        <f t="shared" si="1"/>
        <v>26</v>
      </c>
      <c r="E29" s="89" t="s">
        <v>206</v>
      </c>
      <c r="G29" s="92">
        <v>26</v>
      </c>
      <c r="H29" s="89" t="s">
        <v>188</v>
      </c>
      <c r="J29" s="16"/>
      <c r="K29" s="86"/>
      <c r="M29" s="16"/>
      <c r="N29" s="86"/>
      <c r="P29" s="16"/>
      <c r="Q29" s="86"/>
    </row>
    <row r="30" spans="4:17" ht="12">
      <c r="D30" s="92">
        <f t="shared" si="1"/>
        <v>27</v>
      </c>
      <c r="E30" s="89" t="s">
        <v>207</v>
      </c>
      <c r="G30" s="92">
        <v>27</v>
      </c>
      <c r="H30" s="89" t="s">
        <v>190</v>
      </c>
      <c r="J30" s="16"/>
      <c r="K30" s="86"/>
      <c r="M30" s="16"/>
      <c r="N30" s="86"/>
      <c r="P30" s="16"/>
      <c r="Q30" s="86"/>
    </row>
    <row r="31" spans="4:17" ht="12">
      <c r="D31" s="92">
        <f t="shared" si="1"/>
        <v>28</v>
      </c>
      <c r="E31" s="89" t="s">
        <v>188</v>
      </c>
      <c r="G31" s="92">
        <v>28</v>
      </c>
      <c r="H31" s="89" t="s">
        <v>192</v>
      </c>
      <c r="J31" s="16"/>
      <c r="K31" s="86"/>
      <c r="M31" s="16"/>
      <c r="N31" s="86"/>
      <c r="P31" s="16"/>
      <c r="Q31" s="86"/>
    </row>
    <row r="32" spans="4:17" ht="12">
      <c r="D32" s="92">
        <f t="shared" si="1"/>
        <v>29</v>
      </c>
      <c r="E32" s="89" t="s">
        <v>190</v>
      </c>
      <c r="G32" s="92">
        <v>29</v>
      </c>
      <c r="H32" s="89" t="s">
        <v>193</v>
      </c>
      <c r="J32" s="16"/>
      <c r="K32" s="86"/>
      <c r="M32" s="16"/>
      <c r="N32" s="86"/>
      <c r="P32" s="16"/>
      <c r="Q32" s="86"/>
    </row>
    <row r="33" spans="4:17" ht="12">
      <c r="D33" s="92">
        <f t="shared" si="1"/>
        <v>30</v>
      </c>
      <c r="E33" s="89" t="s">
        <v>192</v>
      </c>
      <c r="G33" s="92">
        <v>30</v>
      </c>
      <c r="H33" s="89" t="s">
        <v>194</v>
      </c>
      <c r="J33" s="16"/>
      <c r="K33" s="86"/>
      <c r="M33" s="16"/>
      <c r="N33" s="86"/>
      <c r="P33" s="16"/>
      <c r="Q33" s="86"/>
    </row>
    <row r="34" spans="4:17" ht="12">
      <c r="D34" s="92">
        <f t="shared" si="1"/>
        <v>31</v>
      </c>
      <c r="E34" s="89" t="s">
        <v>193</v>
      </c>
      <c r="G34" s="92">
        <v>31</v>
      </c>
      <c r="H34" s="89" t="s">
        <v>196</v>
      </c>
      <c r="J34" s="16"/>
      <c r="K34" s="86"/>
      <c r="M34" s="16"/>
      <c r="N34" s="86"/>
      <c r="P34" s="16"/>
      <c r="Q34" s="86"/>
    </row>
    <row r="35" spans="4:17" ht="12">
      <c r="D35" s="92">
        <f t="shared" si="1"/>
        <v>32</v>
      </c>
      <c r="E35" s="89" t="s">
        <v>194</v>
      </c>
      <c r="G35" s="92">
        <v>32</v>
      </c>
      <c r="H35" s="89" t="s">
        <v>198</v>
      </c>
      <c r="J35" s="16"/>
      <c r="K35" s="86"/>
      <c r="M35" s="16"/>
      <c r="N35" s="86"/>
      <c r="P35" s="16"/>
      <c r="Q35" s="86"/>
    </row>
    <row r="36" spans="4:17" ht="12">
      <c r="D36" s="92">
        <f t="shared" si="1"/>
        <v>33</v>
      </c>
      <c r="E36" s="89" t="s">
        <v>196</v>
      </c>
      <c r="G36" s="92">
        <v>33</v>
      </c>
      <c r="H36" s="89" t="s">
        <v>200</v>
      </c>
      <c r="J36" s="16"/>
      <c r="K36" s="86"/>
      <c r="M36" s="16"/>
      <c r="N36" s="86"/>
      <c r="P36" s="16"/>
      <c r="Q36" s="86"/>
    </row>
    <row r="37" spans="4:17" ht="12">
      <c r="D37" s="92">
        <f t="shared" si="1"/>
        <v>34</v>
      </c>
      <c r="E37" s="89" t="s">
        <v>198</v>
      </c>
      <c r="G37" s="92">
        <v>34</v>
      </c>
      <c r="H37" s="89" t="s">
        <v>202</v>
      </c>
      <c r="J37" s="16"/>
      <c r="K37" s="86"/>
      <c r="M37" s="16"/>
      <c r="N37" s="86"/>
      <c r="P37" s="16"/>
      <c r="Q37" s="86"/>
    </row>
    <row r="38" spans="4:17" ht="12">
      <c r="D38" s="92">
        <f t="shared" si="1"/>
        <v>35</v>
      </c>
      <c r="E38" s="89" t="s">
        <v>200</v>
      </c>
      <c r="G38" s="16"/>
      <c r="H38" s="93" t="s">
        <v>209</v>
      </c>
      <c r="J38" s="16"/>
      <c r="K38" s="86"/>
      <c r="M38" s="16"/>
      <c r="N38" s="86"/>
      <c r="P38" s="16"/>
      <c r="Q38" s="86"/>
    </row>
    <row r="39" spans="4:17" ht="12">
      <c r="D39" s="92">
        <f t="shared" si="1"/>
        <v>36</v>
      </c>
      <c r="E39" s="89" t="s">
        <v>202</v>
      </c>
      <c r="G39" s="16"/>
      <c r="H39" s="86"/>
      <c r="J39" s="16"/>
      <c r="K39" s="86"/>
      <c r="M39" s="16"/>
      <c r="N39" s="86"/>
      <c r="P39" s="16"/>
      <c r="Q39" s="86"/>
    </row>
    <row r="40" spans="4:17" ht="12">
      <c r="D40" s="16"/>
      <c r="E40" s="93" t="s">
        <v>210</v>
      </c>
      <c r="G40" s="16"/>
      <c r="H40" s="86"/>
      <c r="J40" s="16"/>
      <c r="K40" s="86"/>
      <c r="M40" s="16"/>
      <c r="N40" s="86"/>
      <c r="P40" s="16"/>
      <c r="Q40" s="86"/>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29F6F-50ED-4786-86D5-C8E95AE6F7EB}">
  <dimension ref="A1:BA70"/>
  <sheetViews>
    <sheetView showGridLines="0" zoomScaleNormal="100" workbookViewId="0">
      <pane xSplit="7" ySplit="2" topLeftCell="H3" activePane="bottomRight" state="frozen"/>
      <selection activeCell="D111" sqref="D111"/>
      <selection pane="topRight" activeCell="D111" sqref="D111"/>
      <selection pane="bottomLeft" activeCell="D111" sqref="D111"/>
      <selection pane="bottomRight" activeCell="J42" sqref="J42"/>
    </sheetView>
  </sheetViews>
  <sheetFormatPr baseColWidth="10" defaultRowHeight="11.45" customHeight="1" outlineLevelRow="1" outlineLevelCol="1"/>
  <cols>
    <col min="1" max="1" width="6.85546875" customWidth="1"/>
    <col min="2" max="2" width="5.5703125" customWidth="1"/>
    <col min="3" max="4" width="4.85546875" customWidth="1"/>
    <col min="5" max="5" width="17.140625" customWidth="1"/>
    <col min="6" max="6" width="18.140625" customWidth="1"/>
    <col min="7" max="7" width="19.85546875" customWidth="1"/>
    <col min="8" max="8" width="14.42578125" customWidth="1"/>
    <col min="9" max="9" width="10.140625" customWidth="1"/>
    <col min="10" max="10" width="12.85546875" customWidth="1" outlineLevel="1"/>
    <col min="12" max="12" width="12" customWidth="1"/>
  </cols>
  <sheetData>
    <row r="1" spans="1:53" s="84" customFormat="1" ht="33.75" customHeight="1">
      <c r="C1" s="84" t="s">
        <v>211</v>
      </c>
    </row>
    <row r="2" spans="1:53" ht="12">
      <c r="C2" s="70"/>
      <c r="D2" s="70" t="s">
        <v>212</v>
      </c>
      <c r="E2" s="40"/>
      <c r="F2" s="40"/>
      <c r="G2" s="40"/>
      <c r="H2" s="40" t="s">
        <v>213</v>
      </c>
      <c r="I2" s="40"/>
      <c r="J2" s="40" t="s">
        <v>214</v>
      </c>
      <c r="K2" s="40"/>
      <c r="L2" s="40" t="s">
        <v>215</v>
      </c>
      <c r="M2" s="40"/>
      <c r="N2" s="40"/>
      <c r="O2" s="40"/>
      <c r="P2" s="40"/>
      <c r="Q2" s="40"/>
      <c r="R2" s="40"/>
      <c r="S2" s="40"/>
      <c r="T2" s="40"/>
      <c r="U2" s="40"/>
      <c r="V2" s="40"/>
      <c r="W2" s="40"/>
      <c r="X2" s="40"/>
      <c r="Y2" s="40"/>
      <c r="Z2" s="40"/>
      <c r="AA2" s="40"/>
      <c r="AB2" s="40"/>
      <c r="AC2" s="40"/>
    </row>
    <row r="3" spans="1:53" ht="12">
      <c r="A3" s="94">
        <v>1</v>
      </c>
      <c r="B3" s="94" t="s">
        <v>216</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row>
    <row r="4" spans="1:53" ht="12"/>
    <row r="5" spans="1:53" ht="12">
      <c r="C5" s="95">
        <v>1</v>
      </c>
      <c r="D5" s="96" t="s">
        <v>217</v>
      </c>
    </row>
    <row r="6" spans="1:53" ht="12">
      <c r="D6" s="97" t="s">
        <v>216</v>
      </c>
      <c r="H6" s="16" t="s">
        <v>218</v>
      </c>
      <c r="I6" s="87">
        <v>2024</v>
      </c>
      <c r="J6" s="79" t="s">
        <v>219</v>
      </c>
    </row>
    <row r="7" spans="1:53" ht="12"/>
    <row r="8" spans="1:53" ht="12">
      <c r="A8" s="94">
        <v>2</v>
      </c>
      <c r="B8" s="94" t="s">
        <v>220</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row>
    <row r="9" spans="1:53" ht="12">
      <c r="N9" s="517"/>
      <c r="O9" s="517"/>
      <c r="P9" s="517"/>
      <c r="Q9" s="517"/>
      <c r="R9" s="517"/>
      <c r="S9" s="517"/>
      <c r="T9" s="517"/>
      <c r="U9" s="517"/>
      <c r="V9" s="517"/>
      <c r="W9" s="98"/>
      <c r="X9" s="515"/>
      <c r="Y9" s="515"/>
      <c r="Z9" s="515"/>
      <c r="AA9" s="515"/>
      <c r="AB9" s="515"/>
      <c r="AC9" s="515"/>
    </row>
    <row r="10" spans="1:53" ht="12">
      <c r="C10" s="95">
        <v>1</v>
      </c>
      <c r="D10" s="96" t="s">
        <v>221</v>
      </c>
    </row>
    <row r="11" spans="1:53" ht="12">
      <c r="D11" s="97" t="s">
        <v>222</v>
      </c>
      <c r="H11" s="16" t="s">
        <v>223</v>
      </c>
      <c r="I11" s="99">
        <v>1.3699999999999999E-2</v>
      </c>
      <c r="J11" s="79" t="s">
        <v>224</v>
      </c>
      <c r="L11" s="96" t="s">
        <v>225</v>
      </c>
    </row>
    <row r="12" spans="1:53" ht="12">
      <c r="L12" s="100"/>
    </row>
    <row r="13" spans="1:53" ht="12">
      <c r="C13" s="91">
        <f>C10+1</f>
        <v>2</v>
      </c>
      <c r="D13" s="96" t="s">
        <v>226</v>
      </c>
      <c r="L13" s="515"/>
      <c r="M13" s="515"/>
      <c r="N13" s="515"/>
      <c r="O13" s="515"/>
      <c r="P13" s="515"/>
      <c r="Q13" s="515"/>
      <c r="R13" s="515"/>
      <c r="S13" s="515"/>
      <c r="T13" s="515"/>
      <c r="U13" s="515"/>
    </row>
    <row r="14" spans="1:53" ht="12">
      <c r="D14" s="97" t="s">
        <v>227</v>
      </c>
      <c r="H14" s="16" t="s">
        <v>223</v>
      </c>
      <c r="I14" s="99">
        <v>4.0024433715573612E-2</v>
      </c>
      <c r="J14" s="79" t="s">
        <v>228</v>
      </c>
      <c r="L14" s="96" t="s">
        <v>229</v>
      </c>
    </row>
    <row r="15" spans="1:53" ht="12"/>
    <row r="16" spans="1:53" ht="12">
      <c r="C16" s="91">
        <f>C13+1</f>
        <v>3</v>
      </c>
      <c r="D16" s="96" t="s">
        <v>230</v>
      </c>
      <c r="L16" s="515"/>
      <c r="M16" s="515"/>
      <c r="N16" s="515"/>
      <c r="O16" s="515"/>
      <c r="P16" s="515"/>
      <c r="Q16" s="515"/>
      <c r="R16" s="515"/>
      <c r="S16" s="515"/>
      <c r="T16" s="515"/>
      <c r="U16" s="515"/>
    </row>
    <row r="17" spans="3:21" ht="12">
      <c r="D17" s="97" t="s">
        <v>231</v>
      </c>
      <c r="H17" s="16" t="s">
        <v>223</v>
      </c>
      <c r="I17" s="101">
        <v>1.9618657154725699E-2</v>
      </c>
      <c r="J17" s="79" t="s">
        <v>232</v>
      </c>
      <c r="L17" s="98" t="s">
        <v>233</v>
      </c>
    </row>
    <row r="18" spans="3:21" ht="12"/>
    <row r="19" spans="3:21" ht="12">
      <c r="C19" s="91">
        <f>C16+1</f>
        <v>4</v>
      </c>
      <c r="D19" s="96" t="s">
        <v>234</v>
      </c>
    </row>
    <row r="20" spans="3:21" ht="12">
      <c r="D20" s="97" t="s">
        <v>235</v>
      </c>
    </row>
    <row r="21" spans="3:21" ht="12">
      <c r="D21" s="102" t="s">
        <v>236</v>
      </c>
      <c r="H21" s="16" t="s">
        <v>237</v>
      </c>
      <c r="I21" s="103">
        <v>0</v>
      </c>
      <c r="J21" s="79" t="s">
        <v>238</v>
      </c>
      <c r="L21" t="s">
        <v>239</v>
      </c>
    </row>
    <row r="22" spans="3:21" ht="12">
      <c r="D22" s="102" t="s">
        <v>240</v>
      </c>
      <c r="H22" s="16" t="s">
        <v>237</v>
      </c>
      <c r="I22" s="103">
        <v>1800</v>
      </c>
      <c r="J22" s="79" t="s">
        <v>241</v>
      </c>
    </row>
    <row r="23" spans="3:21" ht="12"/>
    <row r="24" spans="3:21" ht="12">
      <c r="D24" s="97" t="s">
        <v>242</v>
      </c>
      <c r="H24" s="16"/>
    </row>
    <row r="25" spans="3:21" ht="12">
      <c r="D25" s="102" t="s">
        <v>236</v>
      </c>
      <c r="H25" s="16" t="s">
        <v>223</v>
      </c>
      <c r="I25" s="101"/>
      <c r="J25" s="104" t="s">
        <v>243</v>
      </c>
      <c r="K25" s="105"/>
      <c r="L25" t="s">
        <v>239</v>
      </c>
    </row>
    <row r="26" spans="3:21" ht="12">
      <c r="D26" s="102" t="s">
        <v>240</v>
      </c>
      <c r="H26" s="16" t="s">
        <v>223</v>
      </c>
      <c r="I26" s="101">
        <v>6.5790364985871458E-2</v>
      </c>
      <c r="J26" s="104" t="s">
        <v>244</v>
      </c>
      <c r="K26" s="105"/>
      <c r="L26" s="98" t="s">
        <v>245</v>
      </c>
    </row>
    <row r="27" spans="3:21" ht="12">
      <c r="I27" s="105"/>
      <c r="J27" s="106"/>
      <c r="K27" s="105"/>
      <c r="L27" s="107"/>
      <c r="M27" s="108"/>
    </row>
    <row r="28" spans="3:21" ht="12">
      <c r="C28" s="91">
        <f>C19+1</f>
        <v>5</v>
      </c>
      <c r="D28" s="96" t="s">
        <v>246</v>
      </c>
      <c r="J28" s="109"/>
      <c r="L28" s="515"/>
      <c r="M28" s="515"/>
      <c r="N28" s="515"/>
      <c r="O28" s="515"/>
      <c r="P28" s="515"/>
      <c r="Q28" s="515"/>
      <c r="R28" s="515"/>
      <c r="S28" s="515"/>
      <c r="T28" s="515"/>
      <c r="U28" s="515"/>
    </row>
    <row r="29" spans="3:21" ht="12">
      <c r="D29" s="97" t="s">
        <v>247</v>
      </c>
      <c r="J29" s="109"/>
    </row>
    <row r="30" spans="3:21" ht="12">
      <c r="D30" s="102" t="s">
        <v>240</v>
      </c>
      <c r="H30" s="16" t="s">
        <v>248</v>
      </c>
      <c r="I30" s="103">
        <v>944.74650977260421</v>
      </c>
      <c r="J30" s="79" t="s">
        <v>249</v>
      </c>
      <c r="L30" t="s">
        <v>250</v>
      </c>
    </row>
    <row r="31" spans="3:21" ht="12">
      <c r="D31" s="102" t="s">
        <v>236</v>
      </c>
      <c r="H31" s="16" t="s">
        <v>248</v>
      </c>
      <c r="I31" s="110">
        <f>I30*5</f>
        <v>4723.7325488630213</v>
      </c>
      <c r="J31" s="79" t="s">
        <v>251</v>
      </c>
    </row>
    <row r="32" spans="3:21" ht="12">
      <c r="D32" s="111"/>
      <c r="L32" s="96" t="s">
        <v>252</v>
      </c>
    </row>
    <row r="33" spans="3:36" ht="12">
      <c r="D33" s="97" t="s">
        <v>253</v>
      </c>
      <c r="H33" s="16" t="s">
        <v>254</v>
      </c>
      <c r="I33" s="112">
        <f>12000*(1+N33)*(1+N34)*(1+N35)*(1+N36)*(1+N37)*(1+N38)*(1+N39)*(1+N40)</f>
        <v>17865.92278043324</v>
      </c>
      <c r="J33" s="79" t="s">
        <v>255</v>
      </c>
      <c r="L33" s="113">
        <v>42850</v>
      </c>
      <c r="M33" t="s">
        <v>223</v>
      </c>
      <c r="N33" s="114">
        <v>5.8999999999999997E-2</v>
      </c>
      <c r="P33" t="s">
        <v>256</v>
      </c>
    </row>
    <row r="34" spans="3:36" ht="12" hidden="1" outlineLevel="1">
      <c r="D34" s="97"/>
      <c r="H34" s="16"/>
      <c r="I34" s="79"/>
      <c r="J34" s="79"/>
      <c r="L34" s="113">
        <v>43215</v>
      </c>
      <c r="M34" t="s">
        <v>223</v>
      </c>
      <c r="N34" s="114">
        <v>5.8999999999999997E-2</v>
      </c>
      <c r="P34" t="s">
        <v>257</v>
      </c>
    </row>
    <row r="35" spans="3:36" ht="12" hidden="1" outlineLevel="1">
      <c r="D35" s="97"/>
      <c r="H35" s="16"/>
      <c r="I35" s="79"/>
      <c r="J35" s="79"/>
      <c r="L35" s="113">
        <v>43581</v>
      </c>
      <c r="M35" t="s">
        <v>223</v>
      </c>
      <c r="N35" s="114">
        <f>0.04+0.0112</f>
        <v>5.1200000000000002E-2</v>
      </c>
      <c r="P35" t="s">
        <v>258</v>
      </c>
    </row>
    <row r="36" spans="3:36" ht="12" hidden="1" outlineLevel="1">
      <c r="D36" s="97"/>
      <c r="H36" s="16"/>
      <c r="I36" s="79"/>
      <c r="J36" s="79"/>
      <c r="L36" s="115">
        <v>44075</v>
      </c>
      <c r="N36" s="114">
        <f>0.035+0.01</f>
        <v>4.5000000000000005E-2</v>
      </c>
      <c r="P36" t="s">
        <v>259</v>
      </c>
    </row>
    <row r="37" spans="3:36" ht="12" hidden="1" outlineLevel="1">
      <c r="D37" s="97"/>
      <c r="H37" s="16"/>
      <c r="I37" s="79"/>
      <c r="J37" s="79"/>
      <c r="L37" s="116">
        <v>44337</v>
      </c>
      <c r="M37" t="s">
        <v>223</v>
      </c>
      <c r="N37" s="114">
        <f>3.4%+0.8%</f>
        <v>4.2000000000000003E-2</v>
      </c>
      <c r="P37" t="s">
        <v>260</v>
      </c>
    </row>
    <row r="38" spans="3:36" ht="12" hidden="1" outlineLevel="1">
      <c r="D38" s="97"/>
      <c r="H38" s="16"/>
      <c r="I38" s="79"/>
      <c r="J38" s="79"/>
      <c r="L38" s="116">
        <v>44734</v>
      </c>
      <c r="M38" t="s">
        <v>223</v>
      </c>
      <c r="N38" s="114">
        <v>4.4999999999999998E-2</v>
      </c>
      <c r="P38" t="s">
        <v>261</v>
      </c>
    </row>
    <row r="39" spans="3:36" ht="12" hidden="1" outlineLevel="1">
      <c r="D39" s="97"/>
      <c r="H39" s="16"/>
      <c r="I39" s="79"/>
      <c r="J39" s="79"/>
      <c r="L39" s="116">
        <v>45082</v>
      </c>
      <c r="M39" t="s">
        <v>223</v>
      </c>
      <c r="N39" s="114">
        <v>5.6000000000000001E-2</v>
      </c>
      <c r="P39" t="s">
        <v>262</v>
      </c>
    </row>
    <row r="40" spans="3:36" ht="12" collapsed="1">
      <c r="J40" s="117"/>
      <c r="L40" s="199">
        <v>2024</v>
      </c>
      <c r="M40" t="s">
        <v>223</v>
      </c>
      <c r="N40" s="114">
        <v>5.0999999999999997E-2</v>
      </c>
      <c r="P40" t="s">
        <v>263</v>
      </c>
    </row>
    <row r="41" spans="3:36" ht="12">
      <c r="C41" s="91">
        <f>C28+1</f>
        <v>6</v>
      </c>
      <c r="D41" s="96" t="s">
        <v>264</v>
      </c>
      <c r="O41" s="113"/>
      <c r="Q41" s="98"/>
      <c r="R41" s="98"/>
      <c r="S41" s="98"/>
      <c r="T41" s="98"/>
      <c r="U41" s="98"/>
      <c r="V41" s="98"/>
      <c r="W41" s="98"/>
      <c r="X41" s="98"/>
      <c r="Y41" s="98"/>
      <c r="Z41" s="98"/>
      <c r="AA41" s="98"/>
      <c r="AB41" s="98"/>
      <c r="AC41" s="98"/>
      <c r="AD41" s="98"/>
      <c r="AE41" s="98"/>
      <c r="AF41" s="98"/>
      <c r="AG41" s="98"/>
      <c r="AH41" s="98"/>
      <c r="AI41" s="98"/>
      <c r="AJ41" s="98"/>
    </row>
    <row r="42" spans="3:36" ht="13.5">
      <c r="D42" t="s">
        <v>265</v>
      </c>
      <c r="H42" s="16" t="s">
        <v>266</v>
      </c>
      <c r="I42" s="118">
        <v>12</v>
      </c>
      <c r="J42" s="79" t="s">
        <v>267</v>
      </c>
      <c r="L42" t="s">
        <v>268</v>
      </c>
      <c r="Q42" s="515"/>
      <c r="R42" s="515"/>
      <c r="S42" s="515"/>
      <c r="T42" s="515"/>
      <c r="U42" s="515"/>
      <c r="V42" s="515"/>
      <c r="W42" s="515"/>
      <c r="X42" s="515"/>
      <c r="Y42" s="515"/>
      <c r="Z42" s="515"/>
      <c r="AA42" s="516"/>
      <c r="AB42" s="516"/>
      <c r="AC42" s="516"/>
      <c r="AD42" s="516"/>
      <c r="AE42" s="516"/>
      <c r="AF42" s="516"/>
      <c r="AG42" s="516"/>
      <c r="AH42" s="516"/>
      <c r="AI42" s="516"/>
      <c r="AJ42" s="516"/>
    </row>
    <row r="43" spans="3:36" ht="12">
      <c r="D43" s="97"/>
    </row>
    <row r="44" spans="3:36" ht="13.5">
      <c r="D44" s="97" t="s">
        <v>269</v>
      </c>
      <c r="H44" s="16" t="s">
        <v>270</v>
      </c>
      <c r="I44" s="119">
        <v>620</v>
      </c>
      <c r="J44" s="79" t="s">
        <v>271</v>
      </c>
      <c r="L44" t="s">
        <v>268</v>
      </c>
    </row>
    <row r="45" spans="3:36" ht="12">
      <c r="D45" s="97"/>
      <c r="H45" s="16"/>
      <c r="I45" s="16"/>
      <c r="J45" s="16"/>
    </row>
    <row r="46" spans="3:36" ht="12">
      <c r="D46" s="97" t="s">
        <v>272</v>
      </c>
      <c r="H46" s="16" t="s">
        <v>223</v>
      </c>
      <c r="I46" s="120">
        <v>8.4199999999999997E-2</v>
      </c>
      <c r="J46" s="79" t="s">
        <v>273</v>
      </c>
      <c r="L46" t="s">
        <v>268</v>
      </c>
    </row>
    <row r="47" spans="3:36" ht="12">
      <c r="D47" s="97"/>
      <c r="H47" s="16"/>
      <c r="I47" s="121"/>
    </row>
    <row r="48" spans="3:36" ht="12">
      <c r="D48" t="s">
        <v>274</v>
      </c>
      <c r="H48" s="16" t="s">
        <v>223</v>
      </c>
      <c r="I48" s="120">
        <v>1.72E-2</v>
      </c>
      <c r="J48" s="79" t="s">
        <v>275</v>
      </c>
      <c r="L48" t="s">
        <v>276</v>
      </c>
    </row>
    <row r="49" spans="1:53" ht="12"/>
    <row r="50" spans="1:53" ht="12">
      <c r="C50" s="91">
        <f>C41+1</f>
        <v>7</v>
      </c>
      <c r="D50" s="96" t="s">
        <v>277</v>
      </c>
      <c r="L50" s="122"/>
    </row>
    <row r="51" spans="1:53" ht="12">
      <c r="D51" s="97" t="s">
        <v>277</v>
      </c>
      <c r="H51" s="16" t="s">
        <v>223</v>
      </c>
      <c r="I51" s="123">
        <v>0.10970000000000001</v>
      </c>
      <c r="J51" s="79" t="s">
        <v>278</v>
      </c>
      <c r="L51" s="98" t="s">
        <v>279</v>
      </c>
    </row>
    <row r="52" spans="1:53" ht="12">
      <c r="L52" s="100"/>
    </row>
    <row r="53" spans="1:53" ht="12">
      <c r="A53" s="94">
        <v>3</v>
      </c>
      <c r="B53" s="94" t="s">
        <v>280</v>
      </c>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row>
    <row r="54" spans="1:53" ht="12"/>
    <row r="55" spans="1:53" ht="12">
      <c r="C55" s="95">
        <v>1</v>
      </c>
      <c r="D55" s="96" t="s">
        <v>281</v>
      </c>
      <c r="L55" s="98"/>
    </row>
    <row r="56" spans="1:53" ht="12">
      <c r="D56" s="97" t="s">
        <v>281</v>
      </c>
      <c r="H56" s="16" t="s">
        <v>282</v>
      </c>
      <c r="I56" s="124">
        <v>5</v>
      </c>
      <c r="J56" s="79" t="s">
        <v>283</v>
      </c>
      <c r="L56" s="98" t="s">
        <v>284</v>
      </c>
    </row>
    <row r="57" spans="1:53" ht="12">
      <c r="L57" s="98"/>
    </row>
    <row r="58" spans="1:53" ht="12">
      <c r="C58" s="91">
        <f>1+C55</f>
        <v>2</v>
      </c>
      <c r="D58" s="96" t="s">
        <v>285</v>
      </c>
      <c r="L58" s="98"/>
    </row>
    <row r="59" spans="1:53" ht="12">
      <c r="D59" s="97" t="s">
        <v>286</v>
      </c>
      <c r="E59" s="97"/>
      <c r="H59" s="16" t="s">
        <v>287</v>
      </c>
      <c r="I59" s="124">
        <v>92.492615930921417</v>
      </c>
      <c r="J59" s="79" t="s">
        <v>288</v>
      </c>
      <c r="L59" s="98" t="s">
        <v>289</v>
      </c>
    </row>
    <row r="60" spans="1:53" ht="12">
      <c r="D60" s="97"/>
      <c r="E60" s="97"/>
      <c r="H60" s="16"/>
      <c r="J60" s="79"/>
      <c r="L60" s="98"/>
    </row>
    <row r="61" spans="1:53" ht="12">
      <c r="D61" s="97" t="s">
        <v>290</v>
      </c>
      <c r="E61" s="97"/>
      <c r="H61" s="16" t="s">
        <v>287</v>
      </c>
      <c r="I61" s="124">
        <v>102.50666565128724</v>
      </c>
      <c r="J61" s="79" t="s">
        <v>291</v>
      </c>
      <c r="L61" s="98" t="s">
        <v>292</v>
      </c>
    </row>
    <row r="62" spans="1:53" ht="12">
      <c r="D62" s="97"/>
      <c r="E62" s="97"/>
      <c r="F62" s="97"/>
      <c r="G62" s="97"/>
      <c r="H62" s="97"/>
      <c r="I62" s="97"/>
      <c r="J62" s="97"/>
      <c r="K62" s="97"/>
    </row>
    <row r="63" spans="1:53" ht="12">
      <c r="C63" s="91">
        <f>1+C58</f>
        <v>3</v>
      </c>
      <c r="D63" s="125" t="s">
        <v>293</v>
      </c>
      <c r="E63" s="98"/>
      <c r="F63" s="98"/>
      <c r="I63" s="97"/>
      <c r="J63" s="79"/>
    </row>
    <row r="64" spans="1:53" ht="12">
      <c r="D64" s="97" t="s">
        <v>294</v>
      </c>
      <c r="E64" s="97"/>
      <c r="H64" s="16" t="s">
        <v>287</v>
      </c>
      <c r="I64" s="126">
        <f>1149/12/(1+16%)</f>
        <v>82.543103448275872</v>
      </c>
      <c r="J64" s="79" t="s">
        <v>295</v>
      </c>
      <c r="L64" t="s">
        <v>296</v>
      </c>
      <c r="R64" s="127"/>
      <c r="S64" s="128"/>
      <c r="T64" s="128"/>
      <c r="U64" s="128"/>
      <c r="V64" s="128"/>
      <c r="W64" s="128"/>
      <c r="X64" s="128"/>
    </row>
    <row r="65" spans="1:53" ht="12">
      <c r="D65" s="97"/>
      <c r="E65" s="97"/>
      <c r="H65" s="16"/>
      <c r="I65" s="16"/>
      <c r="J65" s="79"/>
      <c r="L65" s="100" t="s">
        <v>297</v>
      </c>
    </row>
    <row r="66" spans="1:53" ht="12">
      <c r="C66" s="91">
        <f>1+C63</f>
        <v>4</v>
      </c>
      <c r="D66" s="96" t="s">
        <v>298</v>
      </c>
    </row>
    <row r="67" spans="1:53" ht="12">
      <c r="D67" s="97" t="str">
        <f>D66</f>
        <v>Parámetro de reposición de equipos terminales</v>
      </c>
      <c r="E67" s="97"/>
      <c r="H67" s="16" t="s">
        <v>223</v>
      </c>
      <c r="I67" s="129">
        <v>2E-3</v>
      </c>
      <c r="J67" s="79" t="s">
        <v>299</v>
      </c>
      <c r="L67" s="96"/>
    </row>
    <row r="68" spans="1:53" ht="12"/>
    <row r="69" spans="1:53" ht="12"/>
    <row r="70" spans="1:53" ht="12">
      <c r="A70" s="94"/>
      <c r="B70" s="94" t="s">
        <v>300</v>
      </c>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row>
  </sheetData>
  <mergeCells count="7">
    <mergeCell ref="Q42:Z42"/>
    <mergeCell ref="AA42:AJ42"/>
    <mergeCell ref="N9:V9"/>
    <mergeCell ref="X9:AC9"/>
    <mergeCell ref="L13:U13"/>
    <mergeCell ref="L16:U16"/>
    <mergeCell ref="L28:U28"/>
  </mergeCells>
  <hyperlinks>
    <hyperlink ref="L65" r:id="rId1" xr:uid="{F63C45F3-F62C-40F8-BC90-30647D9746DC}"/>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481D2-5656-4A7E-B2DB-40AF6EA17EB1}">
  <dimension ref="A1:S219"/>
  <sheetViews>
    <sheetView showGridLines="0" zoomScaleNormal="100" workbookViewId="0">
      <selection activeCell="E221" sqref="E221"/>
    </sheetView>
  </sheetViews>
  <sheetFormatPr baseColWidth="10" defaultRowHeight="11.45" customHeight="1" outlineLevelCol="1"/>
  <cols>
    <col min="1" max="1" width="3.42578125" customWidth="1"/>
    <col min="2" max="2" width="4.85546875" customWidth="1"/>
    <col min="3" max="3" width="9.7109375" customWidth="1"/>
    <col min="4" max="4" width="4.85546875" customWidth="1"/>
    <col min="5" max="5" width="52.42578125" bestFit="1" customWidth="1"/>
    <col min="6" max="6" width="13.140625" bestFit="1" customWidth="1"/>
    <col min="7" max="7" width="25" customWidth="1"/>
    <col min="8" max="8" width="12.7109375" customWidth="1"/>
    <col min="9" max="9" width="20.140625" hidden="1" customWidth="1" outlineLevel="1"/>
    <col min="10" max="11" width="14.85546875" hidden="1" customWidth="1" outlineLevel="1"/>
    <col min="12" max="13" width="13.42578125" hidden="1" customWidth="1" outlineLevel="1"/>
    <col min="14" max="14" width="16.140625" customWidth="1" collapsed="1"/>
    <col min="15" max="15" width="16" customWidth="1"/>
    <col min="16" max="16" width="11.7109375" customWidth="1" outlineLevel="1"/>
    <col min="17" max="17" width="11.140625" customWidth="1" outlineLevel="1"/>
    <col min="18" max="18" width="12.140625" customWidth="1" outlineLevel="1"/>
    <col min="23" max="24" width="11" customWidth="1"/>
    <col min="26" max="26" width="11" customWidth="1"/>
  </cols>
  <sheetData>
    <row r="1" spans="1:19" ht="33.75" customHeight="1">
      <c r="A1" s="84"/>
      <c r="B1" s="84"/>
      <c r="C1" s="84" t="s">
        <v>301</v>
      </c>
      <c r="D1" s="84"/>
      <c r="E1" s="84"/>
      <c r="F1" s="84"/>
      <c r="G1" s="84"/>
      <c r="H1" s="84"/>
      <c r="I1" s="84"/>
      <c r="J1" s="84"/>
      <c r="K1" s="84"/>
      <c r="L1" s="84"/>
      <c r="M1" s="84"/>
      <c r="N1" s="84"/>
      <c r="O1" s="84"/>
      <c r="P1" s="84"/>
      <c r="Q1" s="84"/>
      <c r="R1" s="84"/>
      <c r="S1" s="84"/>
    </row>
    <row r="2" spans="1:19" ht="12">
      <c r="C2" s="130" t="s">
        <v>212</v>
      </c>
      <c r="D2" s="40"/>
      <c r="E2" s="40"/>
      <c r="F2" s="40"/>
      <c r="G2" s="40"/>
      <c r="H2" s="40" t="s">
        <v>213</v>
      </c>
      <c r="I2" s="40">
        <f t="array" ref="I2:O2">TRANSPOSE(Years)</f>
        <v>2018</v>
      </c>
      <c r="J2" s="40">
        <v>2019</v>
      </c>
      <c r="K2" s="40">
        <v>2020</v>
      </c>
      <c r="L2" s="40">
        <v>2021</v>
      </c>
      <c r="M2" s="40">
        <v>2022</v>
      </c>
      <c r="N2" s="40">
        <v>2023</v>
      </c>
      <c r="O2" s="40">
        <v>2024</v>
      </c>
      <c r="P2" s="131"/>
      <c r="Q2" s="40" t="s">
        <v>214</v>
      </c>
      <c r="R2" s="40"/>
      <c r="S2" s="40" t="s">
        <v>215</v>
      </c>
    </row>
    <row r="3" spans="1:19" ht="12">
      <c r="A3" s="94">
        <v>1</v>
      </c>
      <c r="B3" s="94" t="s">
        <v>302</v>
      </c>
      <c r="C3" s="73"/>
      <c r="D3" s="73"/>
      <c r="E3" s="73"/>
      <c r="F3" s="73"/>
      <c r="G3" s="73"/>
      <c r="H3" s="73"/>
      <c r="I3" s="73"/>
      <c r="J3" s="73"/>
      <c r="K3" s="73"/>
      <c r="L3" s="73"/>
      <c r="M3" s="73"/>
      <c r="N3" s="73"/>
      <c r="O3" s="73"/>
      <c r="P3" s="73"/>
      <c r="Q3" s="73"/>
      <c r="R3" s="73"/>
      <c r="S3" s="73"/>
    </row>
    <row r="4" spans="1:19" ht="12"/>
    <row r="5" spans="1:19" ht="12">
      <c r="B5" s="94">
        <v>1.1000000000000001</v>
      </c>
      <c r="C5" s="94" t="s">
        <v>303</v>
      </c>
      <c r="D5" s="94"/>
      <c r="E5" s="73"/>
      <c r="F5" s="73"/>
      <c r="G5" s="73"/>
      <c r="H5" s="73"/>
      <c r="I5" s="73"/>
      <c r="J5" s="73"/>
      <c r="K5" s="73"/>
      <c r="L5" s="73"/>
      <c r="M5" s="73"/>
      <c r="N5" s="73"/>
      <c r="O5" s="73"/>
      <c r="P5" s="73"/>
      <c r="Q5" s="73"/>
      <c r="R5" s="73"/>
      <c r="S5" s="73"/>
    </row>
    <row r="6" spans="1:19" ht="12">
      <c r="L6" s="132"/>
    </row>
    <row r="7" spans="1:19" ht="12">
      <c r="C7" s="96" t="s">
        <v>304</v>
      </c>
      <c r="D7" s="96"/>
    </row>
    <row r="8" spans="1:19" ht="12">
      <c r="C8" s="97" t="s">
        <v>305</v>
      </c>
      <c r="D8" s="97"/>
      <c r="H8" s="16" t="s">
        <v>306</v>
      </c>
      <c r="I8" s="133"/>
      <c r="J8" s="133"/>
      <c r="K8" s="133"/>
      <c r="L8" s="133"/>
      <c r="M8" s="133"/>
      <c r="N8" s="134">
        <v>26749342</v>
      </c>
      <c r="O8" s="134">
        <v>27253735</v>
      </c>
      <c r="P8" s="135"/>
      <c r="Q8" s="79" t="s">
        <v>307</v>
      </c>
      <c r="S8" s="136" t="s">
        <v>308</v>
      </c>
    </row>
    <row r="9" spans="1:19" ht="12">
      <c r="H9" s="16"/>
      <c r="P9" s="98"/>
    </row>
    <row r="10" spans="1:19" ht="12">
      <c r="C10" s="97" t="s">
        <v>309</v>
      </c>
      <c r="D10" s="97"/>
      <c r="H10" s="16" t="s">
        <v>306</v>
      </c>
      <c r="I10" s="133"/>
      <c r="J10" s="133"/>
      <c r="K10" s="133"/>
      <c r="L10" s="133"/>
      <c r="M10" s="133"/>
      <c r="N10" s="134">
        <v>10488966</v>
      </c>
      <c r="O10" s="134">
        <v>10813722</v>
      </c>
      <c r="P10" s="135"/>
      <c r="Q10" s="79" t="s">
        <v>310</v>
      </c>
      <c r="S10" t="s">
        <v>308</v>
      </c>
    </row>
    <row r="11" spans="1:19" ht="12">
      <c r="C11" s="97"/>
      <c r="D11" s="97"/>
      <c r="H11" s="16"/>
      <c r="P11" s="98"/>
    </row>
    <row r="12" spans="1:19" ht="12">
      <c r="C12" s="96" t="s">
        <v>311</v>
      </c>
      <c r="D12" s="96"/>
      <c r="H12" s="16"/>
      <c r="P12" s="98"/>
    </row>
    <row r="13" spans="1:19" ht="12">
      <c r="C13" s="97" t="s">
        <v>312</v>
      </c>
      <c r="D13" s="97"/>
      <c r="H13" s="16" t="s">
        <v>313</v>
      </c>
      <c r="I13" s="137" t="str">
        <f t="shared" ref="I13:O13" si="0">IFERROR(I10/I8,"")</f>
        <v/>
      </c>
      <c r="J13" s="137" t="str">
        <f t="shared" si="0"/>
        <v/>
      </c>
      <c r="K13" s="137" t="str">
        <f t="shared" si="0"/>
        <v/>
      </c>
      <c r="L13" s="137" t="str">
        <f t="shared" si="0"/>
        <v/>
      </c>
      <c r="M13" s="137" t="str">
        <f t="shared" si="0"/>
        <v/>
      </c>
      <c r="N13" s="137">
        <f t="shared" si="0"/>
        <v>0.39212052393662616</v>
      </c>
      <c r="O13" s="137">
        <f t="shared" si="0"/>
        <v>0.39677945059640451</v>
      </c>
      <c r="P13" s="138"/>
      <c r="Q13" s="79" t="s">
        <v>314</v>
      </c>
      <c r="S13" t="s">
        <v>308</v>
      </c>
    </row>
    <row r="14" spans="1:19" ht="12">
      <c r="C14" s="96"/>
      <c r="D14" s="96"/>
    </row>
    <row r="15" spans="1:19" ht="12">
      <c r="B15" s="94">
        <v>1.2</v>
      </c>
      <c r="C15" s="94" t="s">
        <v>315</v>
      </c>
      <c r="D15" s="94"/>
      <c r="E15" s="73"/>
      <c r="F15" s="73"/>
      <c r="G15" s="73"/>
      <c r="H15" s="73"/>
      <c r="I15" s="73"/>
      <c r="J15" s="73"/>
      <c r="K15" s="73"/>
      <c r="L15" s="73"/>
      <c r="M15" s="73"/>
      <c r="N15" s="73"/>
      <c r="O15" s="73"/>
      <c r="P15" s="73"/>
      <c r="Q15" s="73"/>
      <c r="R15" s="73"/>
      <c r="S15" s="73"/>
    </row>
    <row r="16" spans="1:19" ht="12">
      <c r="C16" s="96"/>
      <c r="D16" s="96"/>
    </row>
    <row r="17" spans="3:19" ht="12">
      <c r="C17" s="96" t="s">
        <v>316</v>
      </c>
      <c r="D17" s="96"/>
    </row>
    <row r="18" spans="3:19" ht="12">
      <c r="C18" s="96"/>
      <c r="D18" s="96"/>
      <c r="L18" s="95">
        <v>5</v>
      </c>
      <c r="M18" s="95">
        <v>8</v>
      </c>
      <c r="N18" s="95">
        <v>10</v>
      </c>
      <c r="O18" s="95">
        <v>15</v>
      </c>
      <c r="P18" s="139"/>
    </row>
    <row r="19" spans="3:19" ht="12">
      <c r="E19" s="40" t="s">
        <v>317</v>
      </c>
      <c r="F19" s="40" t="s">
        <v>318</v>
      </c>
      <c r="G19" s="40" t="s">
        <v>319</v>
      </c>
      <c r="H19" s="40" t="s">
        <v>213</v>
      </c>
      <c r="I19" s="40">
        <f t="array" ref="I19:O19">TRANSPOSE(Years)</f>
        <v>2018</v>
      </c>
      <c r="J19" s="40">
        <v>2019</v>
      </c>
      <c r="K19" s="40">
        <v>2020</v>
      </c>
      <c r="L19" s="40">
        <v>2021</v>
      </c>
      <c r="M19" s="40">
        <v>2022</v>
      </c>
      <c r="N19" s="40">
        <v>2023</v>
      </c>
      <c r="O19" s="40">
        <v>2024</v>
      </c>
      <c r="P19" s="131"/>
      <c r="Q19" s="40" t="s">
        <v>214</v>
      </c>
      <c r="R19" s="40"/>
      <c r="S19" s="40" t="s">
        <v>215</v>
      </c>
    </row>
    <row r="20" spans="3:19" ht="12">
      <c r="I20" s="140">
        <f t="shared" ref="I20:O20" si="1">SUM(I21:I54)</f>
        <v>0</v>
      </c>
      <c r="J20" s="140">
        <f t="shared" si="1"/>
        <v>0</v>
      </c>
      <c r="K20" s="140">
        <f t="shared" si="1"/>
        <v>0</v>
      </c>
      <c r="L20" s="140">
        <f t="shared" si="1"/>
        <v>0</v>
      </c>
      <c r="M20" s="140">
        <f t="shared" si="1"/>
        <v>0</v>
      </c>
      <c r="N20" s="141">
        <f t="shared" si="1"/>
        <v>1</v>
      </c>
      <c r="O20" s="141">
        <f t="shared" si="1"/>
        <v>0.99999999999999989</v>
      </c>
      <c r="P20" s="141"/>
    </row>
    <row r="21" spans="3:19" ht="12">
      <c r="C21" s="142" t="str">
        <f>E21&amp;F21</f>
        <v>Paquete 249Residencial</v>
      </c>
      <c r="D21" s="95">
        <v>1</v>
      </c>
      <c r="E21" s="143" t="str">
        <f t="array" ref="E21:E54">vector.broadband.plans.names</f>
        <v>Paquete 249</v>
      </c>
      <c r="F21" s="144" t="str">
        <f>IFERROR(VLOOKUP($E21,'Planes y paquetes'!$C$384:$E$417,2,FALSE),"")</f>
        <v>Residencial</v>
      </c>
      <c r="G21" s="144" t="str">
        <f>IFERROR(VLOOKUP($E21,'Planes y paquetes'!$C$384:$E$417,3,FALSE),"")</f>
        <v>Telefonía fija + Internet fijo</v>
      </c>
      <c r="H21" s="16" t="s">
        <v>223</v>
      </c>
      <c r="I21" s="145"/>
      <c r="J21" s="145"/>
      <c r="K21" s="145"/>
      <c r="L21" s="145"/>
      <c r="M21" s="145"/>
      <c r="N21" s="146">
        <f>IFERROR(VLOOKUP($E21&amp;$F21,'Planes y paquetes'!$A$476:$O$509,N$18,FALSE),0)/(SUMIFS('Planes y paquetes'!$J$476:$J$509,'Planes y paquetes'!$E$476:$E$509,"Telefonía fija + Internet fijo")+SUMIFS('Planes y paquetes'!$J$476:$J$509,'Planes y paquetes'!$E$476:$E$509,"Internet fijo"))</f>
        <v>1.2285298908568018E-2</v>
      </c>
      <c r="O21" s="146">
        <f>IFERROR(VLOOKUP($E21&amp;$F21,'Planes y paquetes'!$A$476:$O$509,O$18,FALSE),0)/(SUMIFS('Planes y paquetes'!$O$476:$O$509,'Planes y paquetes'!$E$476:$E$509,"Telefonía fija + Internet fijo")+SUMIFS('Planes y paquetes'!$O$476:$O$509,'Planes y paquetes'!$E$476:$E$509,"Internet fijo"))</f>
        <v>1.8951756589592545E-2</v>
      </c>
      <c r="P21" s="147"/>
      <c r="S21" s="96" t="s">
        <v>320</v>
      </c>
    </row>
    <row r="22" spans="3:19" ht="12">
      <c r="C22" s="142" t="str">
        <f t="shared" ref="C22:C54" si="2">E22&amp;F22</f>
        <v>Paquete 289Residencial</v>
      </c>
      <c r="D22" s="91">
        <f>1+D21</f>
        <v>2</v>
      </c>
      <c r="E22" s="143" t="str">
        <v>Paquete 289</v>
      </c>
      <c r="F22" s="144" t="str">
        <f>IFERROR(VLOOKUP($E22,'Planes y paquetes'!$C$384:$E$417,2,FALSE),"")</f>
        <v>Residencial</v>
      </c>
      <c r="G22" s="144" t="str">
        <f>IFERROR(VLOOKUP($E22,'Planes y paquetes'!$C$384:$E$417,3,FALSE),"")</f>
        <v>Telefonía fija + Internet fijo</v>
      </c>
      <c r="H22" s="16" t="s">
        <v>223</v>
      </c>
      <c r="I22" s="145"/>
      <c r="J22" s="145"/>
      <c r="K22" s="145"/>
      <c r="L22" s="145"/>
      <c r="M22" s="145"/>
      <c r="N22" s="146">
        <f>IFERROR(VLOOKUP($E22&amp;$F22,'Planes y paquetes'!$A$476:$O$509,N$18,FALSE),0)/(SUMIFS('Planes y paquetes'!$J$476:$J$509,'Planes y paquetes'!$E$476:$E$509,"Telefonía fija + Internet fijo")+SUMIFS('Planes y paquetes'!$J$476:$J$509,'Planes y paquetes'!$E$476:$E$509,"Internet fijo"))</f>
        <v>8.0464040525301227E-3</v>
      </c>
      <c r="O22" s="146">
        <f>IFERROR(VLOOKUP($E22&amp;$F22,'Planes y paquetes'!$A$476:$O$509,O$18,FALSE),0)/(SUMIFS('Planes y paquetes'!$O$476:$O$509,'Planes y paquetes'!$E$476:$E$509,"Telefonía fija + Internet fijo")+SUMIFS('Planes y paquetes'!$O$476:$O$509,'Planes y paquetes'!$E$476:$E$509,"Internet fijo"))</f>
        <v>5.1170448778457703E-3</v>
      </c>
      <c r="P22" s="147"/>
      <c r="Q22" s="148"/>
      <c r="S22" s="96" t="s">
        <v>320</v>
      </c>
    </row>
    <row r="23" spans="3:19" ht="12">
      <c r="C23" s="142" t="str">
        <f t="shared" si="2"/>
        <v>Paquete 333Residencial</v>
      </c>
      <c r="D23" s="91">
        <f t="shared" ref="D23:D54" si="3">1+D22</f>
        <v>3</v>
      </c>
      <c r="E23" s="143" t="str">
        <v>Paquete 333</v>
      </c>
      <c r="F23" s="144" t="str">
        <f>IFERROR(VLOOKUP($E23,'Planes y paquetes'!$C$384:$E$417,2,FALSE),"")</f>
        <v>Residencial</v>
      </c>
      <c r="G23" s="144" t="str">
        <f>IFERROR(VLOOKUP($E23,'Planes y paquetes'!$C$384:$E$417,3,FALSE),"")</f>
        <v>Telefonía fija + Internet fijo</v>
      </c>
      <c r="H23" s="16" t="s">
        <v>223</v>
      </c>
      <c r="I23" s="145"/>
      <c r="J23" s="145"/>
      <c r="K23" s="145"/>
      <c r="L23" s="145"/>
      <c r="M23" s="145"/>
      <c r="N23" s="146">
        <f>IFERROR(VLOOKUP($E23&amp;$F23,'Planes y paquetes'!$A$476:$O$509,N$18,FALSE),0)/(SUMIFS('Planes y paquetes'!$J$476:$J$509,'Planes y paquetes'!$E$476:$E$509,"Telefonía fija + Internet fijo")+SUMIFS('Planes y paquetes'!$J$476:$J$509,'Planes y paquetes'!$E$476:$E$509,"Internet fijo"))</f>
        <v>6.1319797176514106E-3</v>
      </c>
      <c r="O23" s="146">
        <f>IFERROR(VLOOKUP($E23&amp;$F23,'Planes y paquetes'!$A$476:$O$509,O$18,FALSE),0)/(SUMIFS('Planes y paquetes'!$O$476:$O$509,'Planes y paquetes'!$E$476:$E$509,"Telefonía fija + Internet fijo")+SUMIFS('Planes y paquetes'!$O$476:$O$509,'Planes y paquetes'!$E$476:$E$509,"Internet fijo"))</f>
        <v>4.524830769138866E-3</v>
      </c>
      <c r="P23" s="147"/>
      <c r="Q23" s="148"/>
      <c r="S23" s="96" t="s">
        <v>320</v>
      </c>
    </row>
    <row r="24" spans="3:19" ht="12">
      <c r="C24" s="142" t="str">
        <f t="shared" si="2"/>
        <v>Paquete 389Residencial</v>
      </c>
      <c r="D24" s="91">
        <f t="shared" si="3"/>
        <v>4</v>
      </c>
      <c r="E24" s="143" t="str">
        <v>Paquete 389</v>
      </c>
      <c r="F24" s="144" t="str">
        <f>IFERROR(VLOOKUP($E24,'Planes y paquetes'!$C$384:$E$417,2,FALSE),"")</f>
        <v>Residencial</v>
      </c>
      <c r="G24" s="144" t="str">
        <f>IFERROR(VLOOKUP($E24,'Planes y paquetes'!$C$384:$E$417,3,FALSE),"")</f>
        <v>Telefonía fija + Internet fijo</v>
      </c>
      <c r="H24" s="16" t="s">
        <v>223</v>
      </c>
      <c r="I24" s="145"/>
      <c r="J24" s="145"/>
      <c r="K24" s="145"/>
      <c r="L24" s="145"/>
      <c r="M24" s="145"/>
      <c r="N24" s="146">
        <f>IFERROR(VLOOKUP($E24&amp;$F24,'Planes y paquetes'!$A$476:$O$509,N$18,FALSE),0)/(SUMIFS('Planes y paquetes'!$J$476:$J$509,'Planes y paquetes'!$E$476:$E$509,"Telefonía fija + Internet fijo")+SUMIFS('Planes y paquetes'!$J$476:$J$509,'Planes y paquetes'!$E$476:$E$509,"Internet fijo"))</f>
        <v>0.48530733492412725</v>
      </c>
      <c r="O24" s="146">
        <f>IFERROR(VLOOKUP($E24&amp;$F24,'Planes y paquetes'!$A$476:$O$509,O$18,FALSE),0)/(SUMIFS('Planes y paquetes'!$O$476:$O$509,'Planes y paquetes'!$E$476:$E$509,"Telefonía fija + Internet fijo")+SUMIFS('Planes y paquetes'!$O$476:$O$509,'Planes y paquetes'!$E$476:$E$509,"Internet fijo"))</f>
        <v>0.52516149668788215</v>
      </c>
      <c r="P24" s="147"/>
      <c r="Q24" s="148"/>
      <c r="S24" s="96" t="s">
        <v>320</v>
      </c>
    </row>
    <row r="25" spans="3:19" ht="12">
      <c r="C25" s="142" t="str">
        <f t="shared" si="2"/>
        <v>Paquete 435Residencial</v>
      </c>
      <c r="D25" s="91">
        <f t="shared" si="3"/>
        <v>5</v>
      </c>
      <c r="E25" s="143" t="str">
        <v>Paquete 435</v>
      </c>
      <c r="F25" s="144" t="str">
        <f>IFERROR(VLOOKUP($E25,'Planes y paquetes'!$C$384:$E$417,2,FALSE),"")</f>
        <v>Residencial</v>
      </c>
      <c r="G25" s="144" t="str">
        <f>IFERROR(VLOOKUP($E25,'Planes y paquetes'!$C$384:$E$417,3,FALSE),"")</f>
        <v>Telefonía fija + Internet fijo</v>
      </c>
      <c r="H25" s="16" t="s">
        <v>223</v>
      </c>
      <c r="I25" s="145"/>
      <c r="J25" s="145"/>
      <c r="K25" s="145"/>
      <c r="L25" s="145"/>
      <c r="M25" s="145"/>
      <c r="N25" s="146">
        <f>IFERROR(VLOOKUP($E25&amp;$F25,'Planes y paquetes'!$A$476:$O$509,N$18,FALSE),0)/(SUMIFS('Planes y paquetes'!$J$476:$J$509,'Planes y paquetes'!$E$476:$E$509,"Telefonía fija + Internet fijo")+SUMIFS('Planes y paquetes'!$J$476:$J$509,'Planes y paquetes'!$E$476:$E$509,"Internet fijo"))</f>
        <v>2.8121486168464747E-2</v>
      </c>
      <c r="O25" s="146">
        <f>IFERROR(VLOOKUP($E25&amp;$F25,'Planes y paquetes'!$A$476:$O$509,O$18,FALSE),0)/(SUMIFS('Planes y paquetes'!$O$476:$O$509,'Planes y paquetes'!$E$476:$E$509,"Telefonía fija + Internet fijo")+SUMIFS('Planes y paquetes'!$O$476:$O$509,'Planes y paquetes'!$E$476:$E$509,"Internet fijo"))</f>
        <v>2.2721996341722474E-2</v>
      </c>
      <c r="P25" s="147"/>
      <c r="Q25" s="148"/>
      <c r="S25" s="96" t="s">
        <v>320</v>
      </c>
    </row>
    <row r="26" spans="3:19" ht="12">
      <c r="C26" s="142" t="str">
        <f t="shared" si="2"/>
        <v>Paquete 499Residencial</v>
      </c>
      <c r="D26" s="91">
        <f t="shared" si="3"/>
        <v>6</v>
      </c>
      <c r="E26" s="143" t="str">
        <v>Paquete 499</v>
      </c>
      <c r="F26" s="144" t="str">
        <f>IFERROR(VLOOKUP($E26,'Planes y paquetes'!$C$384:$E$417,2,FALSE),"")</f>
        <v>Residencial</v>
      </c>
      <c r="G26" s="144" t="str">
        <f>IFERROR(VLOOKUP($E26,'Planes y paquetes'!$C$384:$E$417,3,FALSE),"")</f>
        <v>Telefonía fija + Internet fijo</v>
      </c>
      <c r="H26" s="16" t="s">
        <v>223</v>
      </c>
      <c r="I26" s="145"/>
      <c r="J26" s="145"/>
      <c r="K26" s="145"/>
      <c r="L26" s="145"/>
      <c r="M26" s="145"/>
      <c r="N26" s="146">
        <f>IFERROR(VLOOKUP($E26&amp;$F26,'Planes y paquetes'!$A$476:$O$509,N$18,FALSE),0)/(SUMIFS('Planes y paquetes'!$J$476:$J$509,'Planes y paquetes'!$E$476:$E$509,"Telefonía fija + Internet fijo")+SUMIFS('Planes y paquetes'!$J$476:$J$509,'Planes y paquetes'!$E$476:$E$509,"Internet fijo"))</f>
        <v>2.6025512161037514E-2</v>
      </c>
      <c r="O26" s="146">
        <f>IFERROR(VLOOKUP($E26&amp;$F26,'Planes y paquetes'!$A$476:$O$509,O$18,FALSE),0)/(SUMIFS('Planes y paquetes'!$O$476:$O$509,'Planes y paquetes'!$E$476:$E$509,"Telefonía fija + Internet fijo")+SUMIFS('Planes y paquetes'!$O$476:$O$509,'Planes y paquetes'!$E$476:$E$509,"Internet fijo"))</f>
        <v>2.6011984212330346E-2</v>
      </c>
      <c r="P26" s="147"/>
      <c r="Q26" s="148"/>
      <c r="S26" s="96" t="s">
        <v>320</v>
      </c>
    </row>
    <row r="27" spans="3:19" ht="12">
      <c r="C27" s="142" t="str">
        <f t="shared" si="2"/>
        <v>Paquete 599Residencial</v>
      </c>
      <c r="D27" s="91">
        <f t="shared" si="3"/>
        <v>7</v>
      </c>
      <c r="E27" s="143" t="str">
        <v>Paquete 599</v>
      </c>
      <c r="F27" s="144" t="str">
        <f>IFERROR(VLOOKUP($E27,'Planes y paquetes'!$C$384:$E$417,2,FALSE),"")</f>
        <v>Residencial</v>
      </c>
      <c r="G27" s="144" t="str">
        <f>IFERROR(VLOOKUP($E27,'Planes y paquetes'!$C$384:$E$417,3,FALSE),"")</f>
        <v>Telefonía fija + Internet fijo</v>
      </c>
      <c r="H27" s="16" t="s">
        <v>223</v>
      </c>
      <c r="I27" s="145"/>
      <c r="J27" s="145"/>
      <c r="K27" s="145"/>
      <c r="L27" s="145"/>
      <c r="M27" s="145"/>
      <c r="N27" s="146">
        <f>IFERROR(VLOOKUP($E27&amp;$F27,'Planes y paquetes'!$A$476:$O$509,N$18,FALSE),0)/(SUMIFS('Planes y paquetes'!$J$476:$J$509,'Planes y paquetes'!$E$476:$E$509,"Telefonía fija + Internet fijo")+SUMIFS('Planes y paquetes'!$J$476:$J$509,'Planes y paquetes'!$E$476:$E$509,"Internet fijo"))</f>
        <v>3.4519060253370676E-2</v>
      </c>
      <c r="O27" s="146">
        <f>IFERROR(VLOOKUP($E27&amp;$F27,'Planes y paquetes'!$A$476:$O$509,O$18,FALSE),0)/(SUMIFS('Planes y paquetes'!$O$476:$O$509,'Planes y paquetes'!$E$476:$E$509,"Telefonía fija + Internet fijo")+SUMIFS('Planes y paquetes'!$O$476:$O$509,'Planes y paquetes'!$E$476:$E$509,"Internet fijo"))</f>
        <v>3.9592540763256551E-2</v>
      </c>
      <c r="P27" s="147"/>
      <c r="Q27" s="148"/>
      <c r="S27" s="96" t="s">
        <v>320</v>
      </c>
    </row>
    <row r="28" spans="3:19" ht="12">
      <c r="C28" s="142" t="str">
        <f t="shared" si="2"/>
        <v>Paquete 649Residencial</v>
      </c>
      <c r="D28" s="91">
        <f t="shared" si="3"/>
        <v>8</v>
      </c>
      <c r="E28" s="143" t="str">
        <v>Paquete 649</v>
      </c>
      <c r="F28" s="144" t="str">
        <f>IFERROR(VLOOKUP($E28,'Planes y paquetes'!$C$384:$E$417,2,FALSE),"")</f>
        <v>Residencial</v>
      </c>
      <c r="G28" s="144" t="str">
        <f>IFERROR(VLOOKUP($E28,'Planes y paquetes'!$C$384:$E$417,3,FALSE),"")</f>
        <v>Telefonía fija + Internet fijo</v>
      </c>
      <c r="H28" s="16" t="s">
        <v>223</v>
      </c>
      <c r="I28" s="145"/>
      <c r="J28" s="145"/>
      <c r="K28" s="145"/>
      <c r="L28" s="145"/>
      <c r="M28" s="145"/>
      <c r="N28" s="146">
        <f>IFERROR(VLOOKUP($E28&amp;$F28,'Planes y paquetes'!$A$476:$O$509,N$18,FALSE),0)/(SUMIFS('Planes y paquetes'!$J$476:$J$509,'Planes y paquetes'!$E$476:$E$509,"Telefonía fija + Internet fijo")+SUMIFS('Planes y paquetes'!$J$476:$J$509,'Planes y paquetes'!$E$476:$E$509,"Internet fijo"))</f>
        <v>2.5498153588396581E-2</v>
      </c>
      <c r="O28" s="146">
        <f>IFERROR(VLOOKUP($E28&amp;$F28,'Planes y paquetes'!$A$476:$O$509,O$18,FALSE),0)/(SUMIFS('Planes y paquetes'!$O$476:$O$509,'Planes y paquetes'!$E$476:$E$509,"Telefonía fija + Internet fijo")+SUMIFS('Planes y paquetes'!$O$476:$O$509,'Planes y paquetes'!$E$476:$E$509,"Internet fijo"))</f>
        <v>1.8484085750575491E-2</v>
      </c>
      <c r="P28" s="147"/>
      <c r="Q28" s="148"/>
      <c r="S28" s="96" t="s">
        <v>320</v>
      </c>
    </row>
    <row r="29" spans="3:19" ht="12">
      <c r="C29" s="142" t="str">
        <f t="shared" si="2"/>
        <v>Paquete Infinitum 999Residencial</v>
      </c>
      <c r="D29" s="91">
        <f t="shared" si="3"/>
        <v>9</v>
      </c>
      <c r="E29" s="143" t="str">
        <v>Paquete Infinitum 999</v>
      </c>
      <c r="F29" s="144" t="str">
        <f>IFERROR(VLOOKUP($E29,'Planes y paquetes'!$C$384:$E$417,2,FALSE),"")</f>
        <v>Residencial</v>
      </c>
      <c r="G29" s="144" t="str">
        <f>IFERROR(VLOOKUP($E29,'Planes y paquetes'!$C$384:$E$417,3,FALSE),"")</f>
        <v>Telefonía fija + Internet fijo</v>
      </c>
      <c r="H29" s="16" t="s">
        <v>223</v>
      </c>
      <c r="I29" s="145"/>
      <c r="J29" s="145"/>
      <c r="K29" s="145"/>
      <c r="L29" s="145"/>
      <c r="M29" s="145"/>
      <c r="N29" s="146">
        <f>IFERROR(VLOOKUP($E29&amp;$F29,'Planes y paquetes'!$A$476:$O$509,N$18,FALSE),0)/(SUMIFS('Planes y paquetes'!$J$476:$J$509,'Planes y paquetes'!$E$476:$E$509,"Telefonía fija + Internet fijo")+SUMIFS('Planes y paquetes'!$J$476:$J$509,'Planes y paquetes'!$E$476:$E$509,"Internet fijo"))</f>
        <v>7.7919718712912405E-3</v>
      </c>
      <c r="O29" s="146">
        <f>IFERROR(VLOOKUP($E29&amp;$F29,'Planes y paquetes'!$A$476:$O$509,O$18,FALSE),0)/(SUMIFS('Planes y paquetes'!$O$476:$O$509,'Planes y paquetes'!$E$476:$E$509,"Telefonía fija + Internet fijo")+SUMIFS('Planes y paquetes'!$O$476:$O$509,'Planes y paquetes'!$E$476:$E$509,"Internet fijo"))</f>
        <v>6.0923924608238559E-3</v>
      </c>
      <c r="P29" s="147"/>
      <c r="Q29" s="148"/>
      <c r="S29" s="96" t="s">
        <v>320</v>
      </c>
    </row>
    <row r="30" spans="3:19" ht="12">
      <c r="C30" s="142" t="str">
        <f t="shared" si="2"/>
        <v>Paquete 1399Residencial</v>
      </c>
      <c r="D30" s="91">
        <f t="shared" si="3"/>
        <v>10</v>
      </c>
      <c r="E30" s="143" t="str">
        <v>Paquete 1399</v>
      </c>
      <c r="F30" s="144" t="str">
        <f>IFERROR(VLOOKUP($E30,'Planes y paquetes'!$C$384:$E$417,2,FALSE),"")</f>
        <v>Residencial</v>
      </c>
      <c r="G30" s="144" t="str">
        <f>IFERROR(VLOOKUP($E30,'Planes y paquetes'!$C$384:$E$417,3,FALSE),"")</f>
        <v>Telefonía fija + Internet fijo</v>
      </c>
      <c r="H30" s="16" t="s">
        <v>223</v>
      </c>
      <c r="I30" s="145"/>
      <c r="J30" s="145"/>
      <c r="K30" s="145"/>
      <c r="L30" s="145"/>
      <c r="M30" s="145"/>
      <c r="N30" s="146">
        <f>IFERROR(VLOOKUP($E30&amp;$F30,'Planes y paquetes'!$A$476:$O$509,N$18,FALSE),0)/(SUMIFS('Planes y paquetes'!$J$476:$J$509,'Planes y paquetes'!$E$476:$E$509,"Telefonía fija + Internet fijo")+SUMIFS('Planes y paquetes'!$J$476:$J$509,'Planes y paquetes'!$E$476:$E$509,"Internet fijo"))</f>
        <v>1.557890981555582E-3</v>
      </c>
      <c r="O30" s="146">
        <f>IFERROR(VLOOKUP($E30&amp;$F30,'Planes y paquetes'!$A$476:$O$509,O$18,FALSE),0)/(SUMIFS('Planes y paquetes'!$O$476:$O$509,'Planes y paquetes'!$E$476:$E$509,"Telefonía fija + Internet fijo")+SUMIFS('Planes y paquetes'!$O$476:$O$509,'Planes y paquetes'!$E$476:$E$509,"Internet fijo"))</f>
        <v>1.4431994441894546E-3</v>
      </c>
      <c r="P30" s="147"/>
      <c r="Q30" s="148"/>
      <c r="S30" s="96" t="s">
        <v>320</v>
      </c>
    </row>
    <row r="31" spans="3:19" ht="12">
      <c r="C31" s="142" t="str">
        <f t="shared" si="2"/>
        <v>Infinitum 279Residencial</v>
      </c>
      <c r="D31" s="91">
        <f t="shared" si="3"/>
        <v>11</v>
      </c>
      <c r="E31" s="143" t="str">
        <v>Infinitum 279</v>
      </c>
      <c r="F31" s="144" t="str">
        <f>IFERROR(VLOOKUP($E31,'Planes y paquetes'!$C$384:$E$417,2,FALSE),"")</f>
        <v>Residencial</v>
      </c>
      <c r="G31" s="144" t="str">
        <f>IFERROR(VLOOKUP($E31,'Planes y paquetes'!$C$384:$E$417,3,FALSE),"")</f>
        <v>Internet fijo</v>
      </c>
      <c r="H31" s="16" t="s">
        <v>223</v>
      </c>
      <c r="I31" s="145"/>
      <c r="J31" s="145"/>
      <c r="K31" s="145"/>
      <c r="L31" s="145"/>
      <c r="M31" s="145"/>
      <c r="N31" s="146">
        <f>IFERROR(VLOOKUP($E31&amp;$F31,'Planes y paquetes'!$A$476:$O$509,N$18,FALSE),0)/(SUMIFS('Planes y paquetes'!$J$476:$J$509,'Planes y paquetes'!$E$476:$E$509,"Telefonía fija + Internet fijo")+SUMIFS('Planes y paquetes'!$J$476:$J$509,'Planes y paquetes'!$E$476:$E$509,"Internet fijo"))</f>
        <v>2.8728402674766183E-3</v>
      </c>
      <c r="O31" s="146">
        <f>IFERROR(VLOOKUP($E31&amp;$F31,'Planes y paquetes'!$A$476:$O$509,O$18,FALSE),0)/(SUMIFS('Planes y paquetes'!$O$476:$O$509,'Planes y paquetes'!$E$476:$E$509,"Telefonía fija + Internet fijo")+SUMIFS('Planes y paquetes'!$O$476:$O$509,'Planes y paquetes'!$E$476:$E$509,"Internet fijo"))</f>
        <v>2.5962203108893266E-3</v>
      </c>
      <c r="P31" s="147"/>
      <c r="Q31" s="148"/>
      <c r="S31" s="96" t="s">
        <v>320</v>
      </c>
    </row>
    <row r="32" spans="3:19" ht="12">
      <c r="C32" s="142" t="str">
        <f t="shared" si="2"/>
        <v>Infinitum 299 RResidencial</v>
      </c>
      <c r="D32" s="91">
        <f t="shared" si="3"/>
        <v>12</v>
      </c>
      <c r="E32" s="143" t="str">
        <v>Infinitum 299 R</v>
      </c>
      <c r="F32" s="144" t="str">
        <f>IFERROR(VLOOKUP($E32,'Planes y paquetes'!$C$384:$E$417,2,FALSE),"")</f>
        <v>Residencial</v>
      </c>
      <c r="G32" s="144" t="str">
        <f>IFERROR(VLOOKUP($E32,'Planes y paquetes'!$C$384:$E$417,3,FALSE),"")</f>
        <v>Internet fijo</v>
      </c>
      <c r="H32" s="16" t="s">
        <v>223</v>
      </c>
      <c r="I32" s="145"/>
      <c r="J32" s="145"/>
      <c r="K32" s="145"/>
      <c r="L32" s="145"/>
      <c r="M32" s="145"/>
      <c r="N32" s="146">
        <f>IFERROR(VLOOKUP($E32&amp;$F32,'Planes y paquetes'!$A$476:$O$509,N$18,FALSE),0)/(SUMIFS('Planes y paquetes'!$J$476:$J$509,'Planes y paquetes'!$E$476:$E$509,"Telefonía fija + Internet fijo")+SUMIFS('Planes y paquetes'!$J$476:$J$509,'Planes y paquetes'!$E$476:$E$509,"Internet fijo"))</f>
        <v>2.6482833488090112E-5</v>
      </c>
      <c r="O32" s="146">
        <f>IFERROR(VLOOKUP($E32&amp;$F32,'Planes y paquetes'!$A$476:$O$509,O$18,FALSE),0)/(SUMIFS('Planes y paquetes'!$O$476:$O$509,'Planes y paquetes'!$E$476:$E$509,"Telefonía fija + Internet fijo")+SUMIFS('Planes y paquetes'!$O$476:$O$509,'Planes y paquetes'!$E$476:$E$509,"Internet fijo"))</f>
        <v>2.5524129398646984E-5</v>
      </c>
      <c r="P32" s="147"/>
      <c r="Q32" s="148"/>
      <c r="S32" s="96" t="s">
        <v>320</v>
      </c>
    </row>
    <row r="33" spans="3:19" ht="12">
      <c r="C33" s="142" t="str">
        <f t="shared" si="2"/>
        <v>Infinitum 349Residencial</v>
      </c>
      <c r="D33" s="91">
        <f t="shared" si="3"/>
        <v>13</v>
      </c>
      <c r="E33" s="143" t="str">
        <v>Infinitum 349</v>
      </c>
      <c r="F33" s="144" t="str">
        <f>IFERROR(VLOOKUP($E33,'Planes y paquetes'!$C$384:$E$417,2,FALSE),"")</f>
        <v>Residencial</v>
      </c>
      <c r="G33" s="144" t="str">
        <f>IFERROR(VLOOKUP($E33,'Planes y paquetes'!$C$384:$E$417,3,FALSE),"")</f>
        <v>Internet fijo</v>
      </c>
      <c r="H33" s="16" t="s">
        <v>223</v>
      </c>
      <c r="I33" s="145"/>
      <c r="J33" s="145"/>
      <c r="K33" s="145"/>
      <c r="L33" s="145"/>
      <c r="M33" s="145"/>
      <c r="N33" s="146">
        <f>IFERROR(VLOOKUP($E33&amp;$F33,'Planes y paquetes'!$A$476:$O$509,N$18,FALSE),0)/(SUMIFS('Planes y paquetes'!$J$476:$J$509,'Planes y paquetes'!$E$476:$E$509,"Telefonía fija + Internet fijo")+SUMIFS('Planes y paquetes'!$J$476:$J$509,'Planes y paquetes'!$E$476:$E$509,"Internet fijo"))</f>
        <v>0.16583178257374839</v>
      </c>
      <c r="O33" s="146">
        <f>IFERROR(VLOOKUP($E33&amp;$F33,'Planes y paquetes'!$A$476:$O$509,O$18,FALSE),0)/(SUMIFS('Planes y paquetes'!$O$476:$O$509,'Planes y paquetes'!$E$476:$E$509,"Telefonía fija + Internet fijo")+SUMIFS('Planes y paquetes'!$O$476:$O$509,'Planes y paquetes'!$E$476:$E$509,"Internet fijo"))</f>
        <v>0.13803204798825963</v>
      </c>
      <c r="P33" s="147"/>
      <c r="Q33" s="148"/>
      <c r="S33" s="96" t="s">
        <v>320</v>
      </c>
    </row>
    <row r="34" spans="3:19" ht="12">
      <c r="C34" s="142" t="str">
        <f t="shared" si="2"/>
        <v>Infinitum 399Residencial</v>
      </c>
      <c r="D34" s="91">
        <f t="shared" si="3"/>
        <v>14</v>
      </c>
      <c r="E34" s="143" t="str">
        <v>Infinitum 399</v>
      </c>
      <c r="F34" s="144" t="str">
        <f>IFERROR(VLOOKUP($E34,'Planes y paquetes'!$C$384:$E$417,2,FALSE),"")</f>
        <v>Residencial</v>
      </c>
      <c r="G34" s="144" t="str">
        <f>IFERROR(VLOOKUP($E34,'Planes y paquetes'!$C$384:$E$417,3,FALSE),"")</f>
        <v>Internet fijo</v>
      </c>
      <c r="H34" s="16" t="s">
        <v>223</v>
      </c>
      <c r="I34" s="145"/>
      <c r="J34" s="145"/>
      <c r="K34" s="145"/>
      <c r="L34" s="145"/>
      <c r="M34" s="145"/>
      <c r="N34" s="146">
        <f>IFERROR(VLOOKUP($E34&amp;$F34,'Planes y paquetes'!$A$476:$O$509,N$18,FALSE),0)/(SUMIFS('Planes y paquetes'!$J$476:$J$509,'Planes y paquetes'!$E$476:$E$509,"Telefonía fija + Internet fijo")+SUMIFS('Planes y paquetes'!$J$476:$J$509,'Planes y paquetes'!$E$476:$E$509,"Internet fijo"))</f>
        <v>2.6903604127601295E-2</v>
      </c>
      <c r="O34" s="146">
        <f>IFERROR(VLOOKUP($E34&amp;$F34,'Planes y paquetes'!$A$476:$O$509,O$18,FALSE),0)/(SUMIFS('Planes y paquetes'!$O$476:$O$509,'Planes y paquetes'!$E$476:$E$509,"Telefonía fija + Internet fijo")+SUMIFS('Planes y paquetes'!$O$476:$O$509,'Planes y paquetes'!$E$476:$E$509,"Internet fijo"))</f>
        <v>1.6846830514078592E-2</v>
      </c>
      <c r="P34" s="147"/>
      <c r="Q34" s="148"/>
      <c r="S34" s="96" t="s">
        <v>320</v>
      </c>
    </row>
    <row r="35" spans="3:19" ht="12">
      <c r="C35" s="142" t="str">
        <f t="shared" si="2"/>
        <v>Infinitum 449Residencial</v>
      </c>
      <c r="D35" s="91">
        <f t="shared" si="3"/>
        <v>15</v>
      </c>
      <c r="E35" s="143" t="str">
        <v>Infinitum 449</v>
      </c>
      <c r="F35" s="144" t="str">
        <f>IFERROR(VLOOKUP($E35,'Planes y paquetes'!$C$384:$E$417,2,FALSE),"")</f>
        <v>Residencial</v>
      </c>
      <c r="G35" s="144" t="str">
        <f>IFERROR(VLOOKUP($E35,'Planes y paquetes'!$C$384:$E$417,3,FALSE),"")</f>
        <v>Internet fijo</v>
      </c>
      <c r="H35" s="16" t="s">
        <v>223</v>
      </c>
      <c r="I35" s="145"/>
      <c r="J35" s="145"/>
      <c r="K35" s="145"/>
      <c r="L35" s="145"/>
      <c r="M35" s="145"/>
      <c r="N35" s="146">
        <f>IFERROR(VLOOKUP($E35&amp;$F35,'Planes y paquetes'!$A$476:$O$509,N$18,FALSE),0)/(SUMIFS('Planes y paquetes'!$J$476:$J$509,'Planes y paquetes'!$E$476:$E$509,"Telefonía fija + Internet fijo")+SUMIFS('Planes y paquetes'!$J$476:$J$509,'Planes y paquetes'!$E$476:$E$509,"Internet fijo"))</f>
        <v>9.1750980384646737E-3</v>
      </c>
      <c r="O35" s="146">
        <f>IFERROR(VLOOKUP($E35&amp;$F35,'Planes y paquetes'!$A$476:$O$509,O$18,FALSE),0)/(SUMIFS('Planes y paquetes'!$O$476:$O$509,'Planes y paquetes'!$E$476:$E$509,"Telefonía fija + Internet fijo")+SUMIFS('Planes y paquetes'!$O$476:$O$509,'Planes y paquetes'!$E$476:$E$509,"Internet fijo"))</f>
        <v>1.3055682698505091E-2</v>
      </c>
      <c r="P35" s="147"/>
      <c r="Q35" s="148"/>
      <c r="S35" s="96" t="s">
        <v>320</v>
      </c>
    </row>
    <row r="36" spans="3:19" ht="12">
      <c r="C36" s="142" t="str">
        <f t="shared" si="2"/>
        <v>Infinitum 549Residencial</v>
      </c>
      <c r="D36" s="91">
        <f t="shared" si="3"/>
        <v>16</v>
      </c>
      <c r="E36" s="143" t="str">
        <v>Infinitum 549</v>
      </c>
      <c r="F36" s="144" t="str">
        <f>IFERROR(VLOOKUP($E36,'Planes y paquetes'!$C$384:$E$417,2,FALSE),"")</f>
        <v>Residencial</v>
      </c>
      <c r="G36" s="144" t="str">
        <f>IFERROR(VLOOKUP($E36,'Planes y paquetes'!$C$384:$E$417,3,FALSE),"")</f>
        <v>Internet fijo</v>
      </c>
      <c r="H36" s="16" t="s">
        <v>223</v>
      </c>
      <c r="I36" s="145"/>
      <c r="J36" s="145"/>
      <c r="K36" s="145"/>
      <c r="L36" s="145"/>
      <c r="M36" s="145"/>
      <c r="N36" s="146">
        <f>IFERROR(VLOOKUP($E36&amp;$F36,'Planes y paquetes'!$A$476:$O$509,N$18,FALSE),0)/(SUMIFS('Planes y paquetes'!$J$476:$J$509,'Planes y paquetes'!$E$476:$E$509,"Telefonía fija + Internet fijo")+SUMIFS('Planes y paquetes'!$J$476:$J$509,'Planes y paquetes'!$E$476:$E$509,"Internet fijo"))</f>
        <v>1.3080549945584344E-2</v>
      </c>
      <c r="O36" s="146">
        <f>IFERROR(VLOOKUP($E36&amp;$F36,'Planes y paquetes'!$A$476:$O$509,O$18,FALSE),0)/(SUMIFS('Planes y paquetes'!$O$476:$O$509,'Planes y paquetes'!$E$476:$E$509,"Telefonía fija + Internet fijo")+SUMIFS('Planes y paquetes'!$O$476:$O$509,'Planes y paquetes'!$E$476:$E$509,"Internet fijo"))</f>
        <v>1.5403902603180614E-2</v>
      </c>
      <c r="P36" s="147"/>
      <c r="Q36" s="148"/>
      <c r="S36" s="96" t="s">
        <v>320</v>
      </c>
    </row>
    <row r="37" spans="3:19" ht="12">
      <c r="C37" s="142" t="str">
        <f t="shared" si="2"/>
        <v>Infinitum 899Residencial</v>
      </c>
      <c r="D37" s="91">
        <f t="shared" si="3"/>
        <v>17</v>
      </c>
      <c r="E37" s="143" t="str">
        <v>Infinitum 899</v>
      </c>
      <c r="F37" s="144" t="str">
        <f>IFERROR(VLOOKUP($E37,'Planes y paquetes'!$C$384:$E$417,2,FALSE),"")</f>
        <v>Residencial</v>
      </c>
      <c r="G37" s="144" t="str">
        <f>IFERROR(VLOOKUP($E37,'Planes y paquetes'!$C$384:$E$417,3,FALSE),"")</f>
        <v>Internet fijo</v>
      </c>
      <c r="H37" s="16" t="s">
        <v>223</v>
      </c>
      <c r="I37" s="145"/>
      <c r="J37" s="145"/>
      <c r="K37" s="145"/>
      <c r="L37" s="145"/>
      <c r="M37" s="145"/>
      <c r="N37" s="146">
        <f>IFERROR(VLOOKUP($E37&amp;$F37,'Planes y paquetes'!$A$476:$O$509,N$18,FALSE),0)/(SUMIFS('Planes y paquetes'!$J$476:$J$509,'Planes y paquetes'!$E$476:$E$509,"Telefonía fija + Internet fijo")+SUMIFS('Planes y paquetes'!$J$476:$J$509,'Planes y paquetes'!$E$476:$E$509,"Internet fijo"))</f>
        <v>1.8116665636170736E-3</v>
      </c>
      <c r="O37" s="146">
        <f>IFERROR(VLOOKUP($E37&amp;$F37,'Planes y paquetes'!$A$476:$O$509,O$18,FALSE),0)/(SUMIFS('Planes y paquetes'!$O$476:$O$509,'Planes y paquetes'!$E$476:$E$509,"Telefonía fija + Internet fijo")+SUMIFS('Planes y paquetes'!$O$476:$O$509,'Planes y paquetes'!$E$476:$E$509,"Internet fijo"))</f>
        <v>2.20050579411314E-3</v>
      </c>
      <c r="P37" s="147"/>
      <c r="Q37" s="148"/>
      <c r="S37" s="96" t="s">
        <v>320</v>
      </c>
    </row>
    <row r="38" spans="3:19" ht="12">
      <c r="C38" s="142" t="str">
        <f t="shared" si="2"/>
        <v>Paquete Conectes NegocioNo Residencial</v>
      </c>
      <c r="D38" s="91">
        <f t="shared" si="3"/>
        <v>18</v>
      </c>
      <c r="E38" s="143" t="str">
        <v>Paquete Conectes Negocio</v>
      </c>
      <c r="F38" s="144" t="str">
        <f>IFERROR(VLOOKUP($E38,'Planes y paquetes'!$C$384:$E$417,2,FALSE),"")</f>
        <v>No Residencial</v>
      </c>
      <c r="G38" s="144" t="str">
        <f>IFERROR(VLOOKUP($E38,'Planes y paquetes'!$C$384:$E$417,3,FALSE),"")</f>
        <v>Telefonía fija + Internet fijo</v>
      </c>
      <c r="H38" s="16" t="s">
        <v>223</v>
      </c>
      <c r="I38" s="145"/>
      <c r="J38" s="145"/>
      <c r="K38" s="145"/>
      <c r="L38" s="145"/>
      <c r="M38" s="145"/>
      <c r="N38" s="146">
        <f>IFERROR(VLOOKUP($E38&amp;$F38,'Planes y paquetes'!$A$476:$O$509,N$18,FALSE),0)/(SUMIFS('Planes y paquetes'!$J$476:$J$509,'Planes y paquetes'!$E$476:$E$509,"Telefonía fija + Internet fijo")+SUMIFS('Planes y paquetes'!$J$476:$J$509,'Planes y paquetes'!$E$476:$E$509,"Internet fijo"))</f>
        <v>5.0464024110321797E-2</v>
      </c>
      <c r="O38" s="146">
        <f>IFERROR(VLOOKUP($E38&amp;$F38,'Planes y paquetes'!$A$476:$O$509,O$18,FALSE),0)/(SUMIFS('Planes y paquetes'!$O$476:$O$509,'Planes y paquetes'!$E$476:$E$509,"Telefonía fija + Internet fijo")+SUMIFS('Planes y paquetes'!$O$476:$O$509,'Planes y paquetes'!$E$476:$E$509,"Internet fijo"))</f>
        <v>5.7748433275535964E-2</v>
      </c>
      <c r="P38" s="147"/>
      <c r="Q38" s="148"/>
      <c r="S38" s="96" t="s">
        <v>320</v>
      </c>
    </row>
    <row r="39" spans="3:19" ht="12">
      <c r="C39" s="142" t="str">
        <f t="shared" si="2"/>
        <v>Paquete Mi NegocioNo Residencial</v>
      </c>
      <c r="D39" s="91">
        <f t="shared" si="3"/>
        <v>19</v>
      </c>
      <c r="E39" s="143" t="str">
        <v>Paquete Mi Negocio</v>
      </c>
      <c r="F39" s="144" t="str">
        <f>IFERROR(VLOOKUP($E39,'Planes y paquetes'!$C$384:$E$417,2,FALSE),"")</f>
        <v>No Residencial</v>
      </c>
      <c r="G39" s="144" t="str">
        <f>IFERROR(VLOOKUP($E39,'Planes y paquetes'!$C$384:$E$417,3,FALSE),"")</f>
        <v>Telefonía fija + Internet fijo</v>
      </c>
      <c r="H39" s="16" t="s">
        <v>223</v>
      </c>
      <c r="I39" s="145"/>
      <c r="J39" s="145"/>
      <c r="K39" s="145"/>
      <c r="L39" s="145"/>
      <c r="M39" s="145"/>
      <c r="N39" s="146">
        <f>IFERROR(VLOOKUP($E39&amp;$F39,'Planes y paquetes'!$A$476:$O$509,N$18,FALSE),0)/(SUMIFS('Planes y paquetes'!$J$476:$J$509,'Planes y paquetes'!$E$476:$E$509,"Telefonía fija + Internet fijo")+SUMIFS('Planes y paquetes'!$J$476:$J$509,'Planes y paquetes'!$E$476:$E$509,"Internet fijo"))</f>
        <v>4.7480328015062384E-2</v>
      </c>
      <c r="O39" s="146">
        <f>IFERROR(VLOOKUP($E39&amp;$F39,'Planes y paquetes'!$A$476:$O$509,O$18,FALSE),0)/(SUMIFS('Planes y paquetes'!$O$476:$O$509,'Planes y paquetes'!$E$476:$E$509,"Telefonía fija + Internet fijo")+SUMIFS('Planes y paquetes'!$O$476:$O$509,'Planes y paquetes'!$E$476:$E$509,"Internet fijo"))</f>
        <v>4.117793314108173E-2</v>
      </c>
      <c r="P39" s="147"/>
      <c r="Q39" s="148"/>
      <c r="S39" s="96" t="s">
        <v>320</v>
      </c>
    </row>
    <row r="40" spans="3:19" ht="12">
      <c r="C40" s="142" t="str">
        <f t="shared" si="2"/>
        <v>Paquete Negocio 649No Residencial</v>
      </c>
      <c r="D40" s="91">
        <f t="shared" si="3"/>
        <v>20</v>
      </c>
      <c r="E40" s="143" t="str">
        <v>Paquete Negocio 649</v>
      </c>
      <c r="F40" s="144" t="str">
        <f>IFERROR(VLOOKUP($E40,'Planes y paquetes'!$C$384:$E$417,2,FALSE),"")</f>
        <v>No Residencial</v>
      </c>
      <c r="G40" s="144" t="str">
        <f>IFERROR(VLOOKUP($E40,'Planes y paquetes'!$C$384:$E$417,3,FALSE),"")</f>
        <v>Telefonía fija + Internet fijo</v>
      </c>
      <c r="H40" s="16" t="s">
        <v>223</v>
      </c>
      <c r="I40" s="145"/>
      <c r="J40" s="145"/>
      <c r="K40" s="145"/>
      <c r="L40" s="145"/>
      <c r="M40" s="145"/>
      <c r="N40" s="146">
        <f>IFERROR(VLOOKUP($E40&amp;$F40,'Planes y paquetes'!$A$476:$O$509,N$18,FALSE),0)/(SUMIFS('Planes y paquetes'!$J$476:$J$509,'Planes y paquetes'!$E$476:$E$509,"Telefonía fija + Internet fijo")+SUMIFS('Planes y paquetes'!$J$476:$J$509,'Planes y paquetes'!$E$476:$E$509,"Internet fijo"))</f>
        <v>2.36375703860639E-4</v>
      </c>
      <c r="O40" s="146">
        <f>IFERROR(VLOOKUP($E40&amp;$F40,'Planes y paquetes'!$A$476:$O$509,O$18,FALSE),0)/(SUMIFS('Planes y paquetes'!$O$476:$O$509,'Planes y paquetes'!$E$476:$E$509,"Telefonía fija + Internet fijo")+SUMIFS('Planes y paquetes'!$O$476:$O$509,'Planes y paquetes'!$E$476:$E$509,"Internet fijo"))</f>
        <v>8.6094155616996495E-4</v>
      </c>
      <c r="P40" s="147"/>
      <c r="Q40" s="148"/>
      <c r="S40" s="96" t="s">
        <v>320</v>
      </c>
    </row>
    <row r="41" spans="3:19" ht="12">
      <c r="C41" s="142" t="str">
        <f t="shared" si="2"/>
        <v>Paquete SupernegocioNo Residencial</v>
      </c>
      <c r="D41" s="91">
        <f t="shared" si="3"/>
        <v>21</v>
      </c>
      <c r="E41" s="143" t="str">
        <v>Paquete Supernegocio</v>
      </c>
      <c r="F41" s="144" t="str">
        <f>IFERROR(VLOOKUP($E41,'Planes y paquetes'!$C$384:$E$417,2,FALSE),"")</f>
        <v>No Residencial</v>
      </c>
      <c r="G41" s="144" t="str">
        <f>IFERROR(VLOOKUP($E41,'Planes y paquetes'!$C$384:$E$417,3,FALSE),"")</f>
        <v>Telefonía fija + Internet fijo</v>
      </c>
      <c r="H41" s="16" t="s">
        <v>223</v>
      </c>
      <c r="I41" s="145"/>
      <c r="J41" s="145"/>
      <c r="K41" s="145"/>
      <c r="L41" s="145"/>
      <c r="M41" s="145"/>
      <c r="N41" s="146">
        <f>IFERROR(VLOOKUP($E41&amp;$F41,'Planes y paquetes'!$A$476:$O$509,N$18,FALSE),0)/(SUMIFS('Planes y paquetes'!$J$476:$J$509,'Planes y paquetes'!$E$476:$E$509,"Telefonía fija + Internet fijo")+SUMIFS('Planes y paquetes'!$J$476:$J$509,'Planes y paquetes'!$E$476:$E$509,"Internet fijo"))</f>
        <v>2.6800627489947194E-2</v>
      </c>
      <c r="O41" s="146">
        <f>IFERROR(VLOOKUP($E41&amp;$F41,'Planes y paquetes'!$A$476:$O$509,O$18,FALSE),0)/(SUMIFS('Planes y paquetes'!$O$476:$O$509,'Planes y paquetes'!$E$476:$E$509,"Telefonía fija + Internet fijo")+SUMIFS('Planes y paquetes'!$O$476:$O$509,'Planes y paquetes'!$E$476:$E$509,"Internet fijo"))</f>
        <v>2.0732290892891067E-2</v>
      </c>
      <c r="P41" s="147"/>
      <c r="Q41" s="148"/>
      <c r="S41" s="96" t="s">
        <v>320</v>
      </c>
    </row>
    <row r="42" spans="3:19" ht="12">
      <c r="C42" s="142" t="str">
        <f t="shared" si="2"/>
        <v>Paquete Negocio 999No Residencial</v>
      </c>
      <c r="D42" s="91">
        <f t="shared" si="3"/>
        <v>22</v>
      </c>
      <c r="E42" s="143" t="str">
        <v>Paquete Negocio 999</v>
      </c>
      <c r="F42" s="144" t="str">
        <f>IFERROR(VLOOKUP($E42,'Planes y paquetes'!$C$384:$E$417,2,FALSE),"")</f>
        <v>No Residencial</v>
      </c>
      <c r="G42" s="144" t="str">
        <f>IFERROR(VLOOKUP($E42,'Planes y paquetes'!$C$384:$E$417,3,FALSE),"")</f>
        <v>Telefonía fija + Internet fijo</v>
      </c>
      <c r="H42" s="16" t="s">
        <v>223</v>
      </c>
      <c r="I42" s="145"/>
      <c r="J42" s="145"/>
      <c r="K42" s="145"/>
      <c r="L42" s="145"/>
      <c r="M42" s="145"/>
      <c r="N42" s="146">
        <f>IFERROR(VLOOKUP($E42&amp;$F42,'Planes y paquetes'!$A$476:$O$509,N$18,FALSE),0)/(SUMIFS('Planes y paquetes'!$J$476:$J$509,'Planes y paquetes'!$E$476:$E$509,"Telefonía fija + Internet fijo")+SUMIFS('Planes y paquetes'!$J$476:$J$509,'Planes y paquetes'!$E$476:$E$509,"Internet fijo"))</f>
        <v>5.143360222893534E-5</v>
      </c>
      <c r="O42" s="146">
        <f>IFERROR(VLOOKUP($E42&amp;$F42,'Planes y paquetes'!$A$476:$O$509,O$18,FALSE),0)/(SUMIFS('Planes y paquetes'!$O$476:$O$509,'Planes y paquetes'!$E$476:$E$509,"Telefonía fija + Internet fijo")+SUMIFS('Planes y paquetes'!$O$476:$O$509,'Planes y paquetes'!$E$476:$E$509,"Internet fijo"))</f>
        <v>3.3543412606874373E-4</v>
      </c>
      <c r="P42" s="147"/>
      <c r="Q42" s="148"/>
      <c r="S42" s="96" t="s">
        <v>320</v>
      </c>
    </row>
    <row r="43" spans="3:19" ht="12">
      <c r="C43" s="142" t="str">
        <f t="shared" si="2"/>
        <v>Paquete Telmex Negocio Ilimitado 1No Residencial</v>
      </c>
      <c r="D43" s="91">
        <f t="shared" si="3"/>
        <v>23</v>
      </c>
      <c r="E43" s="143" t="str">
        <v>Paquete Telmex Negocio Ilimitado 1</v>
      </c>
      <c r="F43" s="144" t="str">
        <f>IFERROR(VLOOKUP($E43,'Planes y paquetes'!$C$384:$E$417,2,FALSE),"")</f>
        <v>No Residencial</v>
      </c>
      <c r="G43" s="144" t="str">
        <f>IFERROR(VLOOKUP($E43,'Planes y paquetes'!$C$384:$E$417,3,FALSE),"")</f>
        <v>Telefonía fija + Internet fijo</v>
      </c>
      <c r="H43" s="16" t="s">
        <v>223</v>
      </c>
      <c r="I43" s="145"/>
      <c r="J43" s="145"/>
      <c r="K43" s="145"/>
      <c r="L43" s="145"/>
      <c r="M43" s="145"/>
      <c r="N43" s="146">
        <f>IFERROR(VLOOKUP($E43&amp;$F43,'Planes y paquetes'!$A$476:$O$509,N$18,FALSE),0)/(SUMIFS('Planes y paquetes'!$J$476:$J$509,'Planes y paquetes'!$E$476:$E$509,"Telefonía fija + Internet fijo")+SUMIFS('Planes y paquetes'!$J$476:$J$509,'Planes y paquetes'!$E$476:$E$509,"Internet fijo"))</f>
        <v>5.5810930078206432E-6</v>
      </c>
      <c r="O43" s="146">
        <f>IFERROR(VLOOKUP($E43&amp;$F43,'Planes y paquetes'!$A$476:$O$509,O$18,FALSE),0)/(SUMIFS('Planes y paquetes'!$O$476:$O$509,'Planes y paquetes'!$E$476:$E$509,"Telefonía fija + Internet fijo")+SUMIFS('Planes y paquetes'!$O$476:$O$509,'Planes y paquetes'!$E$476:$E$509,"Internet fijo"))</f>
        <v>8.4175320357240054E-6</v>
      </c>
      <c r="P43" s="147"/>
      <c r="Q43" s="148"/>
      <c r="S43" s="96" t="s">
        <v>320</v>
      </c>
    </row>
    <row r="44" spans="3:19" ht="12">
      <c r="C44" s="142" t="str">
        <f t="shared" si="2"/>
        <v>Paquete Telmex Negocio Ilimitado 2No Residencial</v>
      </c>
      <c r="D44" s="91">
        <f t="shared" si="3"/>
        <v>24</v>
      </c>
      <c r="E44" s="143" t="str">
        <v>Paquete Telmex Negocio Ilimitado 2</v>
      </c>
      <c r="F44" s="144" t="str">
        <f>IFERROR(VLOOKUP($E44,'Planes y paquetes'!$C$384:$E$417,2,FALSE),"")</f>
        <v>No Residencial</v>
      </c>
      <c r="G44" s="144" t="str">
        <f>IFERROR(VLOOKUP($E44,'Planes y paquetes'!$C$384:$E$417,3,FALSE),"")</f>
        <v>Telefonía fija + Internet fijo</v>
      </c>
      <c r="H44" s="16" t="s">
        <v>223</v>
      </c>
      <c r="I44" s="145"/>
      <c r="J44" s="145"/>
      <c r="K44" s="145"/>
      <c r="L44" s="145"/>
      <c r="M44" s="145"/>
      <c r="N44" s="146">
        <f>IFERROR(VLOOKUP($E44&amp;$F44,'Planes y paquetes'!$A$476:$O$509,N$18,FALSE),0)/(SUMIFS('Planes y paquetes'!$J$476:$J$509,'Planes y paquetes'!$E$476:$E$509,"Telefonía fija + Internet fijo")+SUMIFS('Planes y paquetes'!$J$476:$J$509,'Planes y paquetes'!$E$476:$E$509,"Internet fijo"))</f>
        <v>1.6414979434766599E-6</v>
      </c>
      <c r="O44" s="146">
        <f>IFERROR(VLOOKUP($E44&amp;$F44,'Planes y paquetes'!$A$476:$O$509,O$18,FALSE),0)/(SUMIFS('Planes y paquetes'!$O$476:$O$509,'Planes y paquetes'!$E$476:$E$509,"Telefonía fija + Internet fijo")+SUMIFS('Planes y paquetes'!$O$476:$O$509,'Planes y paquetes'!$E$476:$E$509,"Internet fijo"))</f>
        <v>3.4394216920162605E-6</v>
      </c>
      <c r="P44" s="147"/>
      <c r="Q44" s="148"/>
      <c r="S44" s="96" t="s">
        <v>320</v>
      </c>
    </row>
    <row r="45" spans="3:19" ht="12">
      <c r="C45" s="142" t="str">
        <f t="shared" si="2"/>
        <v>Paquete Telmex Negocio Ilimitado 3No Residencial</v>
      </c>
      <c r="D45" s="91">
        <f t="shared" si="3"/>
        <v>25</v>
      </c>
      <c r="E45" s="143" t="str">
        <v>Paquete Telmex Negocio Ilimitado 3</v>
      </c>
      <c r="F45" s="144" t="str">
        <f>IFERROR(VLOOKUP($E45,'Planes y paquetes'!$C$384:$E$417,2,FALSE),"")</f>
        <v>No Residencial</v>
      </c>
      <c r="G45" s="144" t="str">
        <f>IFERROR(VLOOKUP($E45,'Planes y paquetes'!$C$384:$E$417,3,FALSE),"")</f>
        <v>Telefonía fija + Internet fijo</v>
      </c>
      <c r="H45" s="16" t="s">
        <v>223</v>
      </c>
      <c r="I45" s="145"/>
      <c r="J45" s="145"/>
      <c r="K45" s="145"/>
      <c r="L45" s="145"/>
      <c r="M45" s="145"/>
      <c r="N45" s="146">
        <f>IFERROR(VLOOKUP($E45&amp;$F45,'Planes y paquetes'!$A$476:$O$509,N$18,FALSE),0)/(SUMIFS('Planes y paquetes'!$J$476:$J$509,'Planes y paquetes'!$E$476:$E$509,"Telefonía fija + Internet fijo")+SUMIFS('Planes y paquetes'!$J$476:$J$509,'Planes y paquetes'!$E$476:$E$509,"Internet fijo"))</f>
        <v>1.7509311397084372E-6</v>
      </c>
      <c r="O45" s="146">
        <f>IFERROR(VLOOKUP($E45&amp;$F45,'Planes y paquetes'!$A$476:$O$509,O$18,FALSE),0)/(SUMIFS('Planes y paquetes'!$O$476:$O$509,'Planes y paquetes'!$E$476:$E$509,"Telefonía fija + Internet fijo")+SUMIFS('Planes y paquetes'!$O$476:$O$509,'Planes y paquetes'!$E$476:$E$509,"Internet fijo"))</f>
        <v>1.7197108460081302E-6</v>
      </c>
      <c r="P45" s="147"/>
      <c r="Q45" s="148"/>
      <c r="S45" s="96" t="s">
        <v>320</v>
      </c>
    </row>
    <row r="46" spans="3:19" ht="12">
      <c r="C46" s="142" t="str">
        <f t="shared" si="2"/>
        <v>Infinitum 299 NNo Residencial</v>
      </c>
      <c r="D46" s="91">
        <f t="shared" si="3"/>
        <v>26</v>
      </c>
      <c r="E46" s="143" t="str">
        <v>Infinitum 299 N</v>
      </c>
      <c r="F46" s="144" t="str">
        <f>IFERROR(VLOOKUP($E46,'Planes y paquetes'!$C$384:$E$417,2,FALSE),"")</f>
        <v>No Residencial</v>
      </c>
      <c r="G46" s="144" t="str">
        <f>IFERROR(VLOOKUP($E46,'Planes y paquetes'!$C$384:$E$417,3,FALSE),"")</f>
        <v>Internet fijo</v>
      </c>
      <c r="H46" s="16" t="s">
        <v>223</v>
      </c>
      <c r="I46" s="145"/>
      <c r="J46" s="145"/>
      <c r="K46" s="145"/>
      <c r="L46" s="145"/>
      <c r="M46" s="145"/>
      <c r="N46" s="146">
        <f>IFERROR(VLOOKUP($E46&amp;$F46,'Planes y paquetes'!$A$476:$O$509,N$18,FALSE),0)/(SUMIFS('Planes y paquetes'!$J$476:$J$509,'Planes y paquetes'!$E$476:$E$509,"Telefonía fija + Internet fijo")+SUMIFS('Planes y paquetes'!$J$476:$J$509,'Planes y paquetes'!$E$476:$E$509,"Internet fijo"))</f>
        <v>2.8890363805189211E-4</v>
      </c>
      <c r="O46" s="146">
        <f>IFERROR(VLOOKUP($E46&amp;$F46,'Planes y paquetes'!$A$476:$O$509,O$18,FALSE),0)/(SUMIFS('Planes y paquetes'!$O$476:$O$509,'Planes y paquetes'!$E$476:$E$509,"Telefonía fija + Internet fijo")+SUMIFS('Planes y paquetes'!$O$476:$O$509,'Planes y paquetes'!$E$476:$E$509,"Internet fijo"))</f>
        <v>4.5300804127740486E-4</v>
      </c>
      <c r="P46" s="147"/>
      <c r="Q46" s="148"/>
      <c r="S46" s="96" t="s">
        <v>320</v>
      </c>
    </row>
    <row r="47" spans="3:19" ht="12">
      <c r="C47" s="142" t="str">
        <f t="shared" si="2"/>
        <v>Infinitum Negocio 349No Residencial</v>
      </c>
      <c r="D47" s="91">
        <f t="shared" si="3"/>
        <v>27</v>
      </c>
      <c r="E47" s="143" t="str">
        <v>Infinitum Negocio 349</v>
      </c>
      <c r="F47" s="144" t="str">
        <f>IFERROR(VLOOKUP($E47,'Planes y paquetes'!$C$384:$E$417,2,FALSE),"")</f>
        <v>No Residencial</v>
      </c>
      <c r="G47" s="144" t="str">
        <f>IFERROR(VLOOKUP($E47,'Planes y paquetes'!$C$384:$E$417,3,FALSE),"")</f>
        <v>Internet fijo</v>
      </c>
      <c r="H47" s="16" t="s">
        <v>223</v>
      </c>
      <c r="I47" s="145"/>
      <c r="J47" s="145"/>
      <c r="K47" s="145"/>
      <c r="L47" s="145"/>
      <c r="M47" s="145"/>
      <c r="N47" s="146">
        <f>IFERROR(VLOOKUP($E47&amp;$F47,'Planes y paquetes'!$A$476:$O$509,N$18,FALSE),0)/(SUMIFS('Planes y paquetes'!$J$476:$J$509,'Planes y paquetes'!$E$476:$E$509,"Telefonía fija + Internet fijo")+SUMIFS('Planes y paquetes'!$J$476:$J$509,'Planes y paquetes'!$E$476:$E$509,"Internet fijo"))</f>
        <v>9.2252184423388273E-3</v>
      </c>
      <c r="O47" s="146">
        <f>IFERROR(VLOOKUP($E47&amp;$F47,'Planes y paquetes'!$A$476:$O$509,O$18,FALSE),0)/(SUMIFS('Planes y paquetes'!$O$476:$O$509,'Planes y paquetes'!$E$476:$E$509,"Telefonía fija + Internet fijo")+SUMIFS('Planes y paquetes'!$O$476:$O$509,'Planes y paquetes'!$E$476:$E$509,"Internet fijo"))</f>
        <v>1.1465312210336205E-2</v>
      </c>
      <c r="P47" s="147"/>
      <c r="Q47" s="148"/>
      <c r="S47" s="96" t="s">
        <v>320</v>
      </c>
    </row>
    <row r="48" spans="3:19" ht="12">
      <c r="C48" s="142" t="str">
        <f t="shared" si="2"/>
        <v>Infinitum Negocio 399No Residencial</v>
      </c>
      <c r="D48" s="91">
        <f t="shared" si="3"/>
        <v>28</v>
      </c>
      <c r="E48" s="143" t="str">
        <v>Infinitum Negocio 399</v>
      </c>
      <c r="F48" s="144" t="str">
        <f>IFERROR(VLOOKUP($E48,'Planes y paquetes'!$C$384:$E$417,2,FALSE),"")</f>
        <v>No Residencial</v>
      </c>
      <c r="G48" s="144" t="str">
        <f>IFERROR(VLOOKUP($E48,'Planes y paquetes'!$C$384:$E$417,3,FALSE),"")</f>
        <v>Internet fijo</v>
      </c>
      <c r="H48" s="16" t="s">
        <v>223</v>
      </c>
      <c r="I48" s="145"/>
      <c r="J48" s="145"/>
      <c r="K48" s="145"/>
      <c r="L48" s="145"/>
      <c r="M48" s="145"/>
      <c r="N48" s="146">
        <f>IFERROR(VLOOKUP($E48&amp;$F48,'Planes y paquetes'!$A$476:$O$509,N$18,FALSE),0)/(SUMIFS('Planes y paquetes'!$J$476:$J$509,'Planes y paquetes'!$E$476:$E$509,"Telefonía fija + Internet fijo")+SUMIFS('Planes y paquetes'!$J$476:$J$509,'Planes y paquetes'!$E$476:$E$509,"Internet fijo"))</f>
        <v>6.0232031205970234E-4</v>
      </c>
      <c r="O48" s="146">
        <f>IFERROR(VLOOKUP($E48&amp;$F48,'Planes y paquetes'!$A$476:$O$509,O$18,FALSE),0)/(SUMIFS('Planes y paquetes'!$O$476:$O$509,'Planes y paquetes'!$E$476:$E$509,"Telefonía fija + Internet fijo")+SUMIFS('Planes y paquetes'!$O$476:$O$509,'Planes y paquetes'!$E$476:$E$509,"Internet fijo"))</f>
        <v>1.60964935186361E-3</v>
      </c>
      <c r="P48" s="147"/>
      <c r="Q48" s="148"/>
      <c r="S48" s="96" t="s">
        <v>320</v>
      </c>
    </row>
    <row r="49" spans="3:19" ht="12">
      <c r="C49" s="142" t="str">
        <f t="shared" si="2"/>
        <v>Infinitum Negocio 449No Residencial</v>
      </c>
      <c r="D49" s="91">
        <f t="shared" si="3"/>
        <v>29</v>
      </c>
      <c r="E49" s="143" t="str">
        <v>Infinitum Negocio 449</v>
      </c>
      <c r="F49" s="144" t="str">
        <f>IFERROR(VLOOKUP($E49,'Planes y paquetes'!$C$384:$E$417,2,FALSE),"")</f>
        <v>No Residencial</v>
      </c>
      <c r="G49" s="144" t="str">
        <f>IFERROR(VLOOKUP($E49,'Planes y paquetes'!$C$384:$E$417,3,FALSE),"")</f>
        <v>Internet fijo</v>
      </c>
      <c r="H49" s="16" t="s">
        <v>223</v>
      </c>
      <c r="I49" s="145"/>
      <c r="J49" s="145"/>
      <c r="K49" s="145"/>
      <c r="L49" s="145"/>
      <c r="M49" s="145"/>
      <c r="N49" s="146">
        <f>IFERROR(VLOOKUP($E49&amp;$F49,'Planes y paquetes'!$A$476:$O$509,N$18,FALSE),0)/(SUMIFS('Planes y paquetes'!$J$476:$J$509,'Planes y paquetes'!$E$476:$E$509,"Telefonía fija + Internet fijo")+SUMIFS('Planes y paquetes'!$J$476:$J$509,'Planes y paquetes'!$E$476:$E$509,"Internet fijo"))</f>
        <v>6.6338403555703414E-4</v>
      </c>
      <c r="O49" s="146">
        <f>IFERROR(VLOOKUP($E49&amp;$F49,'Planes y paquetes'!$A$476:$O$509,O$18,FALSE),0)/(SUMIFS('Planes y paquetes'!$O$476:$O$509,'Planes y paquetes'!$E$476:$E$509,"Telefonía fija + Internet fijo")+SUMIFS('Planes y paquetes'!$O$476:$O$509,'Planes y paquetes'!$E$476:$E$509,"Internet fijo"))</f>
        <v>1.0706557682857985E-3</v>
      </c>
      <c r="P49" s="147"/>
      <c r="Q49" s="148"/>
      <c r="S49" s="96" t="s">
        <v>320</v>
      </c>
    </row>
    <row r="50" spans="3:19" ht="12">
      <c r="C50" s="142" t="str">
        <f t="shared" si="2"/>
        <v>Infinitum Negocio 549No Residencial</v>
      </c>
      <c r="D50" s="91">
        <f t="shared" si="3"/>
        <v>30</v>
      </c>
      <c r="E50" s="143" t="str">
        <v>Infinitum Negocio 549</v>
      </c>
      <c r="F50" s="144" t="str">
        <f>IFERROR(VLOOKUP($E50,'Planes y paquetes'!$C$384:$E$417,2,FALSE),"")</f>
        <v>No Residencial</v>
      </c>
      <c r="G50" s="144" t="str">
        <f>IFERROR(VLOOKUP($E50,'Planes y paquetes'!$C$384:$E$417,3,FALSE),"")</f>
        <v>Internet fijo</v>
      </c>
      <c r="H50" s="16" t="s">
        <v>223</v>
      </c>
      <c r="I50" s="145"/>
      <c r="J50" s="145"/>
      <c r="K50" s="145"/>
      <c r="L50" s="145"/>
      <c r="M50" s="145"/>
      <c r="N50" s="146">
        <f>IFERROR(VLOOKUP($E50&amp;$F50,'Planes y paquetes'!$A$476:$O$509,N$18,FALSE),0)/(SUMIFS('Planes y paquetes'!$J$476:$J$509,'Planes y paquetes'!$E$476:$E$509,"Telefonía fija + Internet fijo")+SUMIFS('Planes y paquetes'!$J$476:$J$509,'Planes y paquetes'!$E$476:$E$509,"Internet fijo"))</f>
        <v>1.9494429576728811E-3</v>
      </c>
      <c r="O50" s="146">
        <f>IFERROR(VLOOKUP($E50&amp;$F50,'Planes y paquetes'!$A$476:$O$509,O$18,FALSE),0)/(SUMIFS('Planes y paquetes'!$O$476:$O$509,'Planes y paquetes'!$E$476:$E$509,"Telefonía fija + Internet fijo")+SUMIFS('Planes y paquetes'!$O$476:$O$509,'Planes y paquetes'!$E$476:$E$509,"Internet fijo"))</f>
        <v>2.1137961630354669E-3</v>
      </c>
      <c r="P50" s="147"/>
      <c r="Q50" s="148"/>
      <c r="S50" s="96" t="s">
        <v>320</v>
      </c>
    </row>
    <row r="51" spans="3:19" ht="12">
      <c r="C51" s="142" t="str">
        <f t="shared" si="2"/>
        <v>Infinitum Negocio 899No Residencial</v>
      </c>
      <c r="D51" s="91">
        <f t="shared" si="3"/>
        <v>31</v>
      </c>
      <c r="E51" s="143" t="str">
        <v>Infinitum Negocio 899</v>
      </c>
      <c r="F51" s="144" t="str">
        <f>IFERROR(VLOOKUP($E51,'Planes y paquetes'!$C$384:$E$417,2,FALSE),"")</f>
        <v>No Residencial</v>
      </c>
      <c r="G51" s="144" t="str">
        <f>IFERROR(VLOOKUP($E51,'Planes y paquetes'!$C$384:$E$417,3,FALSE),"")</f>
        <v>Internet fijo</v>
      </c>
      <c r="H51" s="16" t="s">
        <v>223</v>
      </c>
      <c r="I51" s="145"/>
      <c r="J51" s="145"/>
      <c r="K51" s="145"/>
      <c r="L51" s="145"/>
      <c r="M51" s="145"/>
      <c r="N51" s="146">
        <f>IFERROR(VLOOKUP($E51&amp;$F51,'Planes y paquetes'!$A$476:$O$509,N$18,FALSE),0)/(SUMIFS('Planes y paquetes'!$J$476:$J$509,'Planes y paquetes'!$E$476:$E$509,"Telefonía fija + Internet fijo")+SUMIFS('Planes y paquetes'!$J$476:$J$509,'Planes y paquetes'!$E$476:$E$509,"Internet fijo"))</f>
        <v>5.3961509061889392E-4</v>
      </c>
      <c r="O51" s="146">
        <f>IFERROR(VLOOKUP($E51&amp;$F51,'Planes y paquetes'!$A$476:$O$509,O$18,FALSE),0)/(SUMIFS('Planes y paquetes'!$O$476:$O$509,'Planes y paquetes'!$E$476:$E$509,"Telefonía fija + Internet fijo")+SUMIFS('Planes y paquetes'!$O$476:$O$509,'Planes y paquetes'!$E$476:$E$509,"Internet fijo"))</f>
        <v>5.18990631105822E-4</v>
      </c>
      <c r="P51" s="147"/>
      <c r="Q51" s="148"/>
      <c r="S51" s="96" t="s">
        <v>320</v>
      </c>
    </row>
    <row r="52" spans="3:19" ht="12">
      <c r="C52" s="142" t="str">
        <f t="shared" si="2"/>
        <v>Infinitum NegocioNo Residencial</v>
      </c>
      <c r="D52" s="91">
        <f t="shared" si="3"/>
        <v>32</v>
      </c>
      <c r="E52" s="143" t="str">
        <v>Infinitum Negocio</v>
      </c>
      <c r="F52" s="144" t="str">
        <f>IFERROR(VLOOKUP($E52,'Planes y paquetes'!$C$384:$E$417,2,FALSE),"")</f>
        <v>No Residencial</v>
      </c>
      <c r="G52" s="144" t="str">
        <f>IFERROR(VLOOKUP($E52,'Planes y paquetes'!$C$384:$E$417,3,FALSE),"")</f>
        <v>Internet fijo</v>
      </c>
      <c r="H52" s="16" t="s">
        <v>223</v>
      </c>
      <c r="I52" s="145"/>
      <c r="J52" s="145"/>
      <c r="K52" s="145"/>
      <c r="L52" s="145"/>
      <c r="M52" s="145"/>
      <c r="N52" s="146">
        <f>IFERROR(VLOOKUP($E52&amp;$F52,'Planes y paquetes'!$A$476:$O$509,N$18,FALSE),0)/(SUMIFS('Planes y paquetes'!$J$476:$J$509,'Planes y paquetes'!$E$476:$E$509,"Telefonía fija + Internet fijo")+SUMIFS('Planes y paquetes'!$J$476:$J$509,'Planes y paquetes'!$E$476:$E$509,"Internet fijo"))</f>
        <v>4.1386540482895862E-3</v>
      </c>
      <c r="O52" s="146">
        <f>IFERROR(VLOOKUP($E52&amp;$F52,'Planes y paquetes'!$A$476:$O$509,O$18,FALSE),0)/(SUMIFS('Planes y paquetes'!$O$476:$O$509,'Planes y paquetes'!$E$476:$E$509,"Telefonía fija + Internet fijo")+SUMIFS('Planes y paquetes'!$O$476:$O$509,'Planes y paquetes'!$E$476:$E$509,"Internet fijo"))</f>
        <v>3.7113170278798616E-3</v>
      </c>
      <c r="P52" s="147"/>
      <c r="Q52" s="148"/>
      <c r="S52" s="96" t="s">
        <v>320</v>
      </c>
    </row>
    <row r="53" spans="3:19" ht="12">
      <c r="C53" s="142" t="str">
        <f t="shared" si="2"/>
        <v>Infinitum Negocio RedNo Residencial</v>
      </c>
      <c r="D53" s="91">
        <f t="shared" si="3"/>
        <v>33</v>
      </c>
      <c r="E53" s="143" t="str">
        <v>Infinitum Negocio Red</v>
      </c>
      <c r="F53" s="144" t="str">
        <f>IFERROR(VLOOKUP($E53,'Planes y paquetes'!$C$384:$E$417,2,FALSE),"")</f>
        <v>No Residencial</v>
      </c>
      <c r="G53" s="144" t="str">
        <f>IFERROR(VLOOKUP($E53,'Planes y paquetes'!$C$384:$E$417,3,FALSE),"")</f>
        <v>Internet fijo</v>
      </c>
      <c r="H53" s="16" t="s">
        <v>223</v>
      </c>
      <c r="I53" s="145"/>
      <c r="J53" s="145"/>
      <c r="K53" s="145"/>
      <c r="L53" s="145"/>
      <c r="M53" s="145"/>
      <c r="N53" s="146">
        <f>IFERROR(VLOOKUP($E53&amp;$F53,'Planes y paquetes'!$A$476:$O$509,N$18,FALSE),0)/(SUMIFS('Planes y paquetes'!$J$476:$J$509,'Planes y paquetes'!$E$476:$E$509,"Telefonía fija + Internet fijo")+SUMIFS('Planes y paquetes'!$J$476:$J$509,'Planes y paquetes'!$E$476:$E$509,"Internet fijo"))</f>
        <v>1.2420667772306726E-3</v>
      </c>
      <c r="O53" s="146">
        <f>IFERROR(VLOOKUP($E53&amp;$F53,'Planes y paquetes'!$A$476:$O$509,O$18,FALSE),0)/(SUMIFS('Planes y paquetes'!$O$476:$O$509,'Planes y paquetes'!$E$476:$E$509,"Telefonía fija + Internet fijo")+SUMIFS('Planes y paquetes'!$O$476:$O$509,'Planes y paquetes'!$E$476:$E$509,"Internet fijo"))</f>
        <v>7.9758378815913912E-4</v>
      </c>
      <c r="P53" s="147"/>
      <c r="Q53" s="148"/>
      <c r="S53" s="96" t="s">
        <v>320</v>
      </c>
    </row>
    <row r="54" spans="3:19" ht="12.75" thickBot="1">
      <c r="C54" s="142" t="str">
        <f t="shared" si="2"/>
        <v>Infinitum Negocio PremiumNo Residencial</v>
      </c>
      <c r="D54" s="91">
        <f t="shared" si="3"/>
        <v>34</v>
      </c>
      <c r="E54" s="143" t="str">
        <v>Infinitum Negocio Premium</v>
      </c>
      <c r="F54" s="144" t="str">
        <f>IFERROR(VLOOKUP($E54,'Planes y paquetes'!$C$384:$E$417,2,FALSE),"")</f>
        <v>No Residencial</v>
      </c>
      <c r="G54" s="144" t="str">
        <f>IFERROR(VLOOKUP($E54,'Planes y paquetes'!$C$384:$E$417,3,FALSE),"")</f>
        <v>Internet fijo</v>
      </c>
      <c r="H54" s="16" t="s">
        <v>223</v>
      </c>
      <c r="I54" s="145"/>
      <c r="J54" s="145"/>
      <c r="K54" s="145"/>
      <c r="L54" s="145"/>
      <c r="M54" s="145"/>
      <c r="N54" s="146">
        <f>IFERROR(VLOOKUP($E54&amp;$F54,'Planes y paquetes'!$A$476:$O$509,N$18,FALSE),0)/(SUMIFS('Planes y paquetes'!$J$476:$J$509,'Planes y paquetes'!$E$476:$E$509,"Telefonía fija + Internet fijo")+SUMIFS('Planes y paquetes'!$J$476:$J$509,'Planes y paquetes'!$E$476:$E$509,"Internet fijo"))</f>
        <v>1.3215152776949429E-3</v>
      </c>
      <c r="O54" s="146">
        <f>IFERROR(VLOOKUP($E54&amp;$F54,'Planes y paquetes'!$A$476:$O$509,O$18,FALSE),0)/(SUMIFS('Planes y paquetes'!$O$476:$O$509,'Planes y paquetes'!$E$476:$E$509,"Telefonía fija + Internet fijo")+SUMIFS('Planes y paquetes'!$O$476:$O$509,'Planes y paquetes'!$E$476:$E$509,"Internet fijo"))</f>
        <v>1.1290354259529166E-3</v>
      </c>
      <c r="P54" s="147"/>
      <c r="Q54" s="148"/>
      <c r="S54" s="96" t="s">
        <v>320</v>
      </c>
    </row>
    <row r="55" spans="3:19" ht="12">
      <c r="E55" s="149"/>
      <c r="F55" s="50"/>
      <c r="G55" s="50"/>
      <c r="H55" s="50"/>
      <c r="I55" s="50"/>
      <c r="J55" s="50"/>
      <c r="K55" s="50"/>
      <c r="L55" s="50"/>
      <c r="M55" s="50"/>
      <c r="N55" s="50"/>
      <c r="O55" s="50"/>
      <c r="P55" s="50"/>
      <c r="Q55" s="150" t="s">
        <v>321</v>
      </c>
      <c r="R55" s="50"/>
      <c r="S55" s="50"/>
    </row>
    <row r="56" spans="3:19" ht="12"/>
    <row r="57" spans="3:19" ht="12"/>
    <row r="58" spans="3:19" ht="12">
      <c r="C58" s="96" t="s">
        <v>322</v>
      </c>
      <c r="D58" s="96"/>
    </row>
    <row r="59" spans="3:19" ht="12">
      <c r="C59" s="96"/>
      <c r="D59" s="96"/>
    </row>
    <row r="60" spans="3:19" ht="12">
      <c r="E60" s="40" t="s">
        <v>317</v>
      </c>
      <c r="F60" s="40" t="s">
        <v>318</v>
      </c>
      <c r="G60" s="40" t="s">
        <v>319</v>
      </c>
      <c r="H60" s="40" t="s">
        <v>213</v>
      </c>
      <c r="I60" s="40">
        <f t="array" ref="I60:O60">TRANSPOSE(Years)</f>
        <v>2018</v>
      </c>
      <c r="J60" s="40">
        <v>2019</v>
      </c>
      <c r="K60" s="40">
        <v>2020</v>
      </c>
      <c r="L60" s="40">
        <v>2021</v>
      </c>
      <c r="M60" s="40">
        <v>2022</v>
      </c>
      <c r="N60" s="40">
        <v>2023</v>
      </c>
      <c r="O60" s="40">
        <v>2024</v>
      </c>
      <c r="P60" s="131"/>
      <c r="Q60" s="40" t="s">
        <v>214</v>
      </c>
      <c r="R60" s="40"/>
      <c r="S60" s="40" t="s">
        <v>215</v>
      </c>
    </row>
    <row r="61" spans="3:19" ht="12">
      <c r="I61" s="151">
        <f t="shared" ref="I61:O61" si="4">SUM(I62:I95)</f>
        <v>0</v>
      </c>
      <c r="J61" s="151">
        <f t="shared" si="4"/>
        <v>0</v>
      </c>
      <c r="K61" s="151">
        <f t="shared" si="4"/>
        <v>0</v>
      </c>
      <c r="L61" s="151">
        <f t="shared" si="4"/>
        <v>0</v>
      </c>
      <c r="M61" s="151">
        <f t="shared" si="4"/>
        <v>0</v>
      </c>
      <c r="N61" s="151">
        <f t="shared" si="4"/>
        <v>10488965.999999998</v>
      </c>
      <c r="O61" s="151">
        <f t="shared" si="4"/>
        <v>10813722.000000002</v>
      </c>
      <c r="P61" s="151"/>
    </row>
    <row r="62" spans="3:19" ht="12">
      <c r="C62" s="142" t="str">
        <f>E62&amp;F62</f>
        <v>Paquete 249Residencial</v>
      </c>
      <c r="D62" s="95">
        <v>1</v>
      </c>
      <c r="E62" s="143" t="str">
        <f t="array" ref="E62:E95">vector.broadband.plans.names</f>
        <v>Paquete 249</v>
      </c>
      <c r="F62" s="143" t="str">
        <f t="shared" ref="F62:G77" si="5">F21</f>
        <v>Residencial</v>
      </c>
      <c r="G62" s="143" t="str">
        <f t="shared" si="5"/>
        <v>Telefonía fija + Internet fijo</v>
      </c>
      <c r="H62" s="16" t="s">
        <v>306</v>
      </c>
      <c r="I62" s="152"/>
      <c r="J62" s="152"/>
      <c r="K62" s="152"/>
      <c r="L62" s="152"/>
      <c r="M62" s="152"/>
      <c r="N62" s="153">
        <f t="shared" ref="N62:O77" si="6">IFERROR(N$10*N21,"")</f>
        <v>128860.08255180705</v>
      </c>
      <c r="O62" s="153">
        <f t="shared" si="6"/>
        <v>204939.02717152188</v>
      </c>
      <c r="P62" s="154"/>
      <c r="S62" s="96"/>
    </row>
    <row r="63" spans="3:19" ht="12">
      <c r="C63" s="142" t="str">
        <f t="shared" ref="C63:C95" si="7">E63&amp;F63</f>
        <v>Paquete 289Residencial</v>
      </c>
      <c r="D63" s="91">
        <f>1+D62</f>
        <v>2</v>
      </c>
      <c r="E63" s="143" t="str">
        <v>Paquete 289</v>
      </c>
      <c r="F63" s="143" t="str">
        <f t="shared" si="5"/>
        <v>Residencial</v>
      </c>
      <c r="G63" s="143" t="str">
        <f t="shared" si="5"/>
        <v>Telefonía fija + Internet fijo</v>
      </c>
      <c r="H63" s="16" t="s">
        <v>306</v>
      </c>
      <c r="I63" s="152"/>
      <c r="J63" s="152"/>
      <c r="K63" s="152"/>
      <c r="L63" s="152"/>
      <c r="M63" s="152"/>
      <c r="N63" s="153">
        <f t="shared" si="6"/>
        <v>84398.458529250667</v>
      </c>
      <c r="O63" s="153">
        <f t="shared" si="6"/>
        <v>55334.300770548121</v>
      </c>
      <c r="P63" s="154"/>
      <c r="S63" s="96"/>
    </row>
    <row r="64" spans="3:19" ht="12">
      <c r="C64" s="142" t="str">
        <f t="shared" si="7"/>
        <v>Paquete 333Residencial</v>
      </c>
      <c r="D64" s="91">
        <f t="shared" ref="D64:D95" si="8">1+D63</f>
        <v>3</v>
      </c>
      <c r="E64" s="143" t="str">
        <v>Paquete 333</v>
      </c>
      <c r="F64" s="143" t="str">
        <f t="shared" si="5"/>
        <v>Residencial</v>
      </c>
      <c r="G64" s="143" t="str">
        <f t="shared" si="5"/>
        <v>Telefonía fija + Internet fijo</v>
      </c>
      <c r="H64" s="16" t="s">
        <v>306</v>
      </c>
      <c r="I64" s="152"/>
      <c r="J64" s="152"/>
      <c r="K64" s="152"/>
      <c r="L64" s="152"/>
      <c r="M64" s="152"/>
      <c r="N64" s="153">
        <f t="shared" si="6"/>
        <v>64318.126771135248</v>
      </c>
      <c r="O64" s="153">
        <f t="shared" si="6"/>
        <v>48930.262034513878</v>
      </c>
      <c r="P64" s="154"/>
      <c r="S64" s="96"/>
    </row>
    <row r="65" spans="3:19" ht="12">
      <c r="C65" s="142" t="str">
        <f t="shared" si="7"/>
        <v>Paquete 389Residencial</v>
      </c>
      <c r="D65" s="91">
        <f t="shared" si="8"/>
        <v>4</v>
      </c>
      <c r="E65" s="143" t="str">
        <v>Paquete 389</v>
      </c>
      <c r="F65" s="143" t="str">
        <f t="shared" si="5"/>
        <v>Residencial</v>
      </c>
      <c r="G65" s="143" t="str">
        <f t="shared" si="5"/>
        <v>Telefonía fija + Internet fijo</v>
      </c>
      <c r="H65" s="16" t="s">
        <v>306</v>
      </c>
      <c r="I65" s="152"/>
      <c r="J65" s="152"/>
      <c r="K65" s="152"/>
      <c r="L65" s="152"/>
      <c r="M65" s="152"/>
      <c r="N65" s="153">
        <f t="shared" si="6"/>
        <v>5090372.1355697829</v>
      </c>
      <c r="O65" s="153">
        <f t="shared" si="6"/>
        <v>5678950.4302866785</v>
      </c>
      <c r="P65" s="154"/>
      <c r="S65" s="96"/>
    </row>
    <row r="66" spans="3:19" ht="12">
      <c r="C66" s="142" t="str">
        <f t="shared" si="7"/>
        <v>Paquete 435Residencial</v>
      </c>
      <c r="D66" s="91">
        <f t="shared" si="8"/>
        <v>5</v>
      </c>
      <c r="E66" s="143" t="str">
        <v>Paquete 435</v>
      </c>
      <c r="F66" s="143" t="str">
        <f t="shared" si="5"/>
        <v>Residencial</v>
      </c>
      <c r="G66" s="143" t="str">
        <f t="shared" si="5"/>
        <v>Telefonía fija + Internet fijo</v>
      </c>
      <c r="H66" s="16" t="s">
        <v>306</v>
      </c>
      <c r="I66" s="152"/>
      <c r="J66" s="152"/>
      <c r="K66" s="152"/>
      <c r="L66" s="152"/>
      <c r="M66" s="152"/>
      <c r="N66" s="153">
        <f t="shared" si="6"/>
        <v>294965.31229049701</v>
      </c>
      <c r="O66" s="153">
        <f t="shared" si="6"/>
        <v>245709.35172440385</v>
      </c>
      <c r="P66" s="154"/>
      <c r="S66" s="96"/>
    </row>
    <row r="67" spans="3:19" ht="12">
      <c r="C67" s="142" t="str">
        <f t="shared" si="7"/>
        <v>Paquete 499Residencial</v>
      </c>
      <c r="D67" s="91">
        <f t="shared" si="8"/>
        <v>6</v>
      </c>
      <c r="E67" s="143" t="str">
        <v>Paquete 499</v>
      </c>
      <c r="F67" s="143" t="str">
        <f t="shared" si="5"/>
        <v>Residencial</v>
      </c>
      <c r="G67" s="143" t="str">
        <f t="shared" si="5"/>
        <v>Telefonía fija + Internet fijo</v>
      </c>
      <c r="H67" s="16" t="s">
        <v>306</v>
      </c>
      <c r="I67" s="152"/>
      <c r="J67" s="152"/>
      <c r="K67" s="152"/>
      <c r="L67" s="152"/>
      <c r="M67" s="152"/>
      <c r="N67" s="153">
        <f t="shared" si="6"/>
        <v>272980.71218970901</v>
      </c>
      <c r="O67" s="153">
        <f t="shared" si="6"/>
        <v>281286.36594052933</v>
      </c>
      <c r="P67" s="154"/>
      <c r="S67" s="96"/>
    </row>
    <row r="68" spans="3:19" ht="12">
      <c r="C68" s="142" t="str">
        <f t="shared" si="7"/>
        <v>Paquete 599Residencial</v>
      </c>
      <c r="D68" s="91">
        <f t="shared" si="8"/>
        <v>7</v>
      </c>
      <c r="E68" s="143" t="str">
        <v>Paquete 599</v>
      </c>
      <c r="F68" s="143" t="str">
        <f t="shared" si="5"/>
        <v>Residencial</v>
      </c>
      <c r="G68" s="143" t="str">
        <f t="shared" si="5"/>
        <v>Telefonía fija + Internet fijo</v>
      </c>
      <c r="H68" s="16" t="s">
        <v>306</v>
      </c>
      <c r="I68" s="152"/>
      <c r="J68" s="152"/>
      <c r="K68" s="152"/>
      <c r="L68" s="152"/>
      <c r="M68" s="152"/>
      <c r="N68" s="153">
        <f t="shared" si="6"/>
        <v>362069.2493495564</v>
      </c>
      <c r="O68" s="153">
        <f t="shared" si="6"/>
        <v>428142.72908752417</v>
      </c>
      <c r="P68" s="154"/>
      <c r="S68" s="96"/>
    </row>
    <row r="69" spans="3:19" ht="12">
      <c r="C69" s="142" t="str">
        <f t="shared" si="7"/>
        <v>Paquete 649Residencial</v>
      </c>
      <c r="D69" s="91">
        <f t="shared" si="8"/>
        <v>8</v>
      </c>
      <c r="E69" s="143" t="str">
        <v>Paquete 649</v>
      </c>
      <c r="F69" s="143" t="str">
        <f t="shared" si="5"/>
        <v>Residencial</v>
      </c>
      <c r="G69" s="143" t="str">
        <f t="shared" si="5"/>
        <v>Telefonía fija + Internet fijo</v>
      </c>
      <c r="H69" s="16" t="s">
        <v>306</v>
      </c>
      <c r="I69" s="152"/>
      <c r="J69" s="152"/>
      <c r="K69" s="152"/>
      <c r="L69" s="152"/>
      <c r="M69" s="152"/>
      <c r="N69" s="153">
        <f t="shared" si="6"/>
        <v>267449.26605146972</v>
      </c>
      <c r="O69" s="153">
        <f t="shared" si="6"/>
        <v>199881.76473088469</v>
      </c>
      <c r="P69" s="154"/>
      <c r="S69" s="96"/>
    </row>
    <row r="70" spans="3:19" ht="12">
      <c r="C70" s="142" t="str">
        <f t="shared" si="7"/>
        <v>Paquete Infinitum 999Residencial</v>
      </c>
      <c r="D70" s="91">
        <f t="shared" si="8"/>
        <v>9</v>
      </c>
      <c r="E70" s="143" t="str">
        <v>Paquete Infinitum 999</v>
      </c>
      <c r="F70" s="143" t="str">
        <f t="shared" si="5"/>
        <v>Residencial</v>
      </c>
      <c r="G70" s="143" t="str">
        <f t="shared" si="5"/>
        <v>Telefonía fija + Internet fijo</v>
      </c>
      <c r="H70" s="16" t="s">
        <v>306</v>
      </c>
      <c r="I70" s="152"/>
      <c r="J70" s="152"/>
      <c r="K70" s="152"/>
      <c r="L70" s="152"/>
      <c r="M70" s="152"/>
      <c r="N70" s="153">
        <f t="shared" si="6"/>
        <v>81729.7280309302</v>
      </c>
      <c r="O70" s="153">
        <f t="shared" si="6"/>
        <v>65881.438386245063</v>
      </c>
      <c r="P70" s="154"/>
      <c r="S70" s="96"/>
    </row>
    <row r="71" spans="3:19" ht="12">
      <c r="C71" s="142" t="str">
        <f t="shared" si="7"/>
        <v>Paquete 1399Residencial</v>
      </c>
      <c r="D71" s="91">
        <f t="shared" si="8"/>
        <v>10</v>
      </c>
      <c r="E71" s="143" t="str">
        <v>Paquete 1399</v>
      </c>
      <c r="F71" s="143" t="str">
        <f t="shared" si="5"/>
        <v>Residencial</v>
      </c>
      <c r="G71" s="143" t="str">
        <f t="shared" si="5"/>
        <v>Telefonía fija + Internet fijo</v>
      </c>
      <c r="H71" s="16" t="s">
        <v>306</v>
      </c>
      <c r="I71" s="152"/>
      <c r="J71" s="152"/>
      <c r="K71" s="152"/>
      <c r="L71" s="152"/>
      <c r="M71" s="152"/>
      <c r="N71" s="153">
        <f t="shared" si="6"/>
        <v>16340.665537243127</v>
      </c>
      <c r="O71" s="153">
        <f t="shared" si="6"/>
        <v>15606.357580019278</v>
      </c>
      <c r="P71" s="154"/>
      <c r="S71" s="96"/>
    </row>
    <row r="72" spans="3:19" ht="12">
      <c r="C72" s="142" t="str">
        <f t="shared" si="7"/>
        <v>Infinitum 279Residencial</v>
      </c>
      <c r="D72" s="91">
        <f t="shared" si="8"/>
        <v>11</v>
      </c>
      <c r="E72" s="143" t="str">
        <v>Infinitum 279</v>
      </c>
      <c r="F72" s="143" t="str">
        <f t="shared" si="5"/>
        <v>Residencial</v>
      </c>
      <c r="G72" s="143" t="str">
        <f t="shared" si="5"/>
        <v>Internet fijo</v>
      </c>
      <c r="H72" s="16" t="s">
        <v>306</v>
      </c>
      <c r="I72" s="152"/>
      <c r="J72" s="152"/>
      <c r="K72" s="152"/>
      <c r="L72" s="152"/>
      <c r="M72" s="152"/>
      <c r="N72" s="153">
        <f t="shared" si="6"/>
        <v>30133.123888993156</v>
      </c>
      <c r="O72" s="153">
        <f t="shared" si="6"/>
        <v>28074.80469271075</v>
      </c>
      <c r="P72" s="154"/>
      <c r="S72" s="96"/>
    </row>
    <row r="73" spans="3:19" ht="12">
      <c r="C73" s="142" t="str">
        <f t="shared" si="7"/>
        <v>Infinitum 299 RResidencial</v>
      </c>
      <c r="D73" s="91">
        <f t="shared" si="8"/>
        <v>12</v>
      </c>
      <c r="E73" s="143" t="str">
        <v>Infinitum 299 R</v>
      </c>
      <c r="F73" s="143" t="str">
        <f t="shared" si="5"/>
        <v>Residencial</v>
      </c>
      <c r="G73" s="143" t="str">
        <f t="shared" si="5"/>
        <v>Internet fijo</v>
      </c>
      <c r="H73" s="16" t="s">
        <v>306</v>
      </c>
      <c r="I73" s="152"/>
      <c r="J73" s="152"/>
      <c r="K73" s="152"/>
      <c r="L73" s="152"/>
      <c r="M73" s="152"/>
      <c r="N73" s="153">
        <f t="shared" si="6"/>
        <v>277.77754004023859</v>
      </c>
      <c r="O73" s="153">
        <f t="shared" si="6"/>
        <v>276.01083960899564</v>
      </c>
      <c r="P73" s="154"/>
      <c r="S73" s="96"/>
    </row>
    <row r="74" spans="3:19" ht="12">
      <c r="C74" s="142" t="str">
        <f t="shared" si="7"/>
        <v>Infinitum 349Residencial</v>
      </c>
      <c r="D74" s="91">
        <f t="shared" si="8"/>
        <v>13</v>
      </c>
      <c r="E74" s="143" t="str">
        <v>Infinitum 349</v>
      </c>
      <c r="F74" s="143" t="str">
        <f t="shared" si="5"/>
        <v>Residencial</v>
      </c>
      <c r="G74" s="143" t="str">
        <f t="shared" si="5"/>
        <v>Internet fijo</v>
      </c>
      <c r="H74" s="16" t="s">
        <v>306</v>
      </c>
      <c r="I74" s="152"/>
      <c r="J74" s="152"/>
      <c r="K74" s="152"/>
      <c r="L74" s="152"/>
      <c r="M74" s="152"/>
      <c r="N74" s="153">
        <f t="shared" si="6"/>
        <v>1739403.9291354395</v>
      </c>
      <c r="O74" s="153">
        <f t="shared" si="6"/>
        <v>1492640.1940356989</v>
      </c>
      <c r="P74" s="154"/>
      <c r="S74" s="96"/>
    </row>
    <row r="75" spans="3:19" ht="12">
      <c r="C75" s="142" t="str">
        <f t="shared" si="7"/>
        <v>Infinitum 399Residencial</v>
      </c>
      <c r="D75" s="91">
        <f t="shared" si="8"/>
        <v>14</v>
      </c>
      <c r="E75" s="143" t="str">
        <v>Infinitum 399</v>
      </c>
      <c r="F75" s="143" t="str">
        <f t="shared" si="5"/>
        <v>Residencial</v>
      </c>
      <c r="G75" s="143" t="str">
        <f t="shared" si="5"/>
        <v>Internet fijo</v>
      </c>
      <c r="H75" s="16" t="s">
        <v>306</v>
      </c>
      <c r="I75" s="152"/>
      <c r="J75" s="152"/>
      <c r="K75" s="152"/>
      <c r="L75" s="152"/>
      <c r="M75" s="152"/>
      <c r="N75" s="153">
        <f t="shared" si="6"/>
        <v>282190.98897186964</v>
      </c>
      <c r="O75" s="153">
        <f t="shared" si="6"/>
        <v>182176.94176036297</v>
      </c>
      <c r="P75" s="154"/>
      <c r="S75" s="96"/>
    </row>
    <row r="76" spans="3:19" ht="12">
      <c r="C76" s="142" t="str">
        <f t="shared" si="7"/>
        <v>Infinitum 449Residencial</v>
      </c>
      <c r="D76" s="91">
        <f t="shared" si="8"/>
        <v>15</v>
      </c>
      <c r="E76" s="143" t="str">
        <v>Infinitum 449</v>
      </c>
      <c r="F76" s="143" t="str">
        <f t="shared" si="5"/>
        <v>Residencial</v>
      </c>
      <c r="G76" s="143" t="str">
        <f t="shared" si="5"/>
        <v>Internet fijo</v>
      </c>
      <c r="H76" s="16" t="s">
        <v>306</v>
      </c>
      <c r="I76" s="152"/>
      <c r="J76" s="152"/>
      <c r="K76" s="152"/>
      <c r="L76" s="152"/>
      <c r="M76" s="152"/>
      <c r="N76" s="153">
        <f t="shared" si="6"/>
        <v>96237.291372122651</v>
      </c>
      <c r="O76" s="153">
        <f t="shared" si="6"/>
        <v>141180.52322184388</v>
      </c>
      <c r="P76" s="154"/>
      <c r="S76" s="96"/>
    </row>
    <row r="77" spans="3:19" ht="12">
      <c r="C77" s="142" t="str">
        <f t="shared" si="7"/>
        <v>Infinitum 549Residencial</v>
      </c>
      <c r="D77" s="91">
        <f t="shared" si="8"/>
        <v>16</v>
      </c>
      <c r="E77" s="143" t="str">
        <v>Infinitum 549</v>
      </c>
      <c r="F77" s="143" t="str">
        <f t="shared" si="5"/>
        <v>Residencial</v>
      </c>
      <c r="G77" s="143" t="str">
        <f t="shared" si="5"/>
        <v>Internet fijo</v>
      </c>
      <c r="H77" s="16" t="s">
        <v>306</v>
      </c>
      <c r="I77" s="152"/>
      <c r="J77" s="152"/>
      <c r="K77" s="152"/>
      <c r="L77" s="152"/>
      <c r="M77" s="152"/>
      <c r="N77" s="153">
        <f t="shared" si="6"/>
        <v>137201.44364053605</v>
      </c>
      <c r="O77" s="153">
        <f t="shared" si="6"/>
        <v>166573.52046587146</v>
      </c>
      <c r="P77" s="154"/>
      <c r="S77" s="96"/>
    </row>
    <row r="78" spans="3:19" ht="12">
      <c r="C78" s="142" t="str">
        <f t="shared" si="7"/>
        <v>Infinitum 899Residencial</v>
      </c>
      <c r="D78" s="91">
        <f t="shared" si="8"/>
        <v>17</v>
      </c>
      <c r="E78" s="143" t="str">
        <v>Infinitum 899</v>
      </c>
      <c r="F78" s="143" t="str">
        <f t="shared" ref="F78:G93" si="9">F37</f>
        <v>Residencial</v>
      </c>
      <c r="G78" s="143" t="str">
        <f t="shared" si="9"/>
        <v>Internet fijo</v>
      </c>
      <c r="H78" s="16" t="s">
        <v>306</v>
      </c>
      <c r="I78" s="152"/>
      <c r="J78" s="152"/>
      <c r="K78" s="152"/>
      <c r="L78" s="152"/>
      <c r="M78" s="152"/>
      <c r="N78" s="153">
        <f t="shared" ref="N78:O93" si="10">IFERROR(N$10*N37,"")</f>
        <v>19002.508989116322</v>
      </c>
      <c r="O78" s="153">
        <f t="shared" si="10"/>
        <v>23795.657916928732</v>
      </c>
      <c r="P78" s="154"/>
      <c r="S78" s="96"/>
    </row>
    <row r="79" spans="3:19" ht="12">
      <c r="C79" s="142" t="str">
        <f t="shared" si="7"/>
        <v>Paquete Conectes NegocioNo Residencial</v>
      </c>
      <c r="D79" s="91">
        <f t="shared" si="8"/>
        <v>18</v>
      </c>
      <c r="E79" s="143" t="str">
        <v>Paquete Conectes Negocio</v>
      </c>
      <c r="F79" s="143" t="str">
        <f t="shared" si="9"/>
        <v>No Residencial</v>
      </c>
      <c r="G79" s="143" t="str">
        <f t="shared" si="9"/>
        <v>Telefonía fija + Internet fijo</v>
      </c>
      <c r="H79" s="16" t="s">
        <v>306</v>
      </c>
      <c r="I79" s="152"/>
      <c r="J79" s="152"/>
      <c r="K79" s="152"/>
      <c r="L79" s="152"/>
      <c r="M79" s="152"/>
      <c r="N79" s="153">
        <f t="shared" si="10"/>
        <v>529315.43311634555</v>
      </c>
      <c r="O79" s="153">
        <f t="shared" si="10"/>
        <v>624475.50337719533</v>
      </c>
      <c r="P79" s="154"/>
      <c r="S79" s="96"/>
    </row>
    <row r="80" spans="3:19" ht="12">
      <c r="C80" s="142" t="str">
        <f t="shared" si="7"/>
        <v>Paquete Mi NegocioNo Residencial</v>
      </c>
      <c r="D80" s="91">
        <f t="shared" si="8"/>
        <v>19</v>
      </c>
      <c r="E80" s="143" t="str">
        <v>Paquete Mi Negocio</v>
      </c>
      <c r="F80" s="143" t="str">
        <f t="shared" si="9"/>
        <v>No Residencial</v>
      </c>
      <c r="G80" s="143" t="str">
        <f t="shared" si="9"/>
        <v>Telefonía fija + Internet fijo</v>
      </c>
      <c r="H80" s="16" t="s">
        <v>306</v>
      </c>
      <c r="I80" s="152"/>
      <c r="J80" s="152"/>
      <c r="K80" s="152"/>
      <c r="L80" s="152"/>
      <c r="M80" s="152"/>
      <c r="N80" s="153">
        <f t="shared" si="10"/>
        <v>498019.54621883685</v>
      </c>
      <c r="O80" s="153">
        <f t="shared" si="10"/>
        <v>445286.72152224462</v>
      </c>
      <c r="P80" s="154"/>
      <c r="S80" s="96"/>
    </row>
    <row r="81" spans="3:19" ht="12">
      <c r="C81" s="142" t="str">
        <f t="shared" si="7"/>
        <v>Paquete Negocio 649No Residencial</v>
      </c>
      <c r="D81" s="91">
        <f t="shared" si="8"/>
        <v>20</v>
      </c>
      <c r="E81" s="143" t="str">
        <v>Paquete Negocio 649</v>
      </c>
      <c r="F81" s="143" t="str">
        <f t="shared" si="9"/>
        <v>No Residencial</v>
      </c>
      <c r="G81" s="143" t="str">
        <f t="shared" si="9"/>
        <v>Telefonía fija + Internet fijo</v>
      </c>
      <c r="H81" s="16" t="s">
        <v>306</v>
      </c>
      <c r="I81" s="152"/>
      <c r="J81" s="152"/>
      <c r="K81" s="152"/>
      <c r="L81" s="152"/>
      <c r="M81" s="152"/>
      <c r="N81" s="153">
        <f t="shared" si="10"/>
        <v>2479.3367210203114</v>
      </c>
      <c r="O81" s="153">
        <f t="shared" si="10"/>
        <v>9309.9826466693848</v>
      </c>
      <c r="P81" s="154"/>
      <c r="S81" s="96"/>
    </row>
    <row r="82" spans="3:19" ht="12">
      <c r="C82" s="142" t="str">
        <f t="shared" si="7"/>
        <v>Paquete SupernegocioNo Residencial</v>
      </c>
      <c r="D82" s="91">
        <f t="shared" si="8"/>
        <v>21</v>
      </c>
      <c r="E82" s="143" t="str">
        <v>Paquete Supernegocio</v>
      </c>
      <c r="F82" s="143" t="str">
        <f t="shared" si="9"/>
        <v>No Residencial</v>
      </c>
      <c r="G82" s="143" t="str">
        <f t="shared" si="9"/>
        <v>Telefonía fija + Internet fijo</v>
      </c>
      <c r="H82" s="16" t="s">
        <v>306</v>
      </c>
      <c r="I82" s="152"/>
      <c r="J82" s="152"/>
      <c r="K82" s="152"/>
      <c r="L82" s="152"/>
      <c r="M82" s="152"/>
      <c r="N82" s="153">
        <f t="shared" si="10"/>
        <v>281110.87052072148</v>
      </c>
      <c r="O82" s="153">
        <f t="shared" si="10"/>
        <v>224193.23013885578</v>
      </c>
      <c r="P82" s="154"/>
      <c r="S82" s="96"/>
    </row>
    <row r="83" spans="3:19" ht="12">
      <c r="C83" s="142" t="str">
        <f t="shared" si="7"/>
        <v>Paquete Negocio 999No Residencial</v>
      </c>
      <c r="D83" s="91">
        <f t="shared" si="8"/>
        <v>22</v>
      </c>
      <c r="E83" s="143" t="str">
        <v>Paquete Negocio 999</v>
      </c>
      <c r="F83" s="143" t="str">
        <f t="shared" si="9"/>
        <v>No Residencial</v>
      </c>
      <c r="G83" s="143" t="str">
        <f t="shared" si="9"/>
        <v>Telefonía fija + Internet fijo</v>
      </c>
      <c r="H83" s="16" t="s">
        <v>306</v>
      </c>
      <c r="I83" s="152"/>
      <c r="J83" s="152"/>
      <c r="K83" s="152"/>
      <c r="L83" s="152"/>
      <c r="M83" s="152"/>
      <c r="N83" s="153">
        <f t="shared" si="10"/>
        <v>539.48530503682696</v>
      </c>
      <c r="O83" s="153">
        <f t="shared" si="10"/>
        <v>3627.2913886203478</v>
      </c>
      <c r="P83" s="154"/>
      <c r="S83" s="96"/>
    </row>
    <row r="84" spans="3:19" ht="12">
      <c r="C84" s="142" t="str">
        <f t="shared" si="7"/>
        <v>Paquete Telmex Negocio Ilimitado 1No Residencial</v>
      </c>
      <c r="D84" s="91">
        <f t="shared" si="8"/>
        <v>23</v>
      </c>
      <c r="E84" s="143" t="str">
        <v>Paquete Telmex Negocio Ilimitado 1</v>
      </c>
      <c r="F84" s="143" t="str">
        <f t="shared" si="9"/>
        <v>No Residencial</v>
      </c>
      <c r="G84" s="143" t="str">
        <f t="shared" si="9"/>
        <v>Telefonía fija + Internet fijo</v>
      </c>
      <c r="H84" s="16" t="s">
        <v>306</v>
      </c>
      <c r="I84" s="152"/>
      <c r="J84" s="152"/>
      <c r="K84" s="152"/>
      <c r="L84" s="152"/>
      <c r="M84" s="152"/>
      <c r="N84" s="153">
        <f t="shared" si="10"/>
        <v>58.539894801868464</v>
      </c>
      <c r="O84" s="153">
        <f t="shared" si="10"/>
        <v>91.024851360413464</v>
      </c>
      <c r="P84" s="154"/>
      <c r="S84" s="96"/>
    </row>
    <row r="85" spans="3:19" ht="12">
      <c r="C85" s="142" t="str">
        <f t="shared" si="7"/>
        <v>Paquete Telmex Negocio Ilimitado 2No Residencial</v>
      </c>
      <c r="D85" s="91">
        <f t="shared" si="8"/>
        <v>24</v>
      </c>
      <c r="E85" s="143" t="str">
        <v>Paquete Telmex Negocio Ilimitado 2</v>
      </c>
      <c r="F85" s="143" t="str">
        <f t="shared" si="9"/>
        <v>No Residencial</v>
      </c>
      <c r="G85" s="143" t="str">
        <f t="shared" si="9"/>
        <v>Telefonía fija + Internet fijo</v>
      </c>
      <c r="H85" s="16" t="s">
        <v>306</v>
      </c>
      <c r="I85" s="152"/>
      <c r="J85" s="152"/>
      <c r="K85" s="152"/>
      <c r="L85" s="152"/>
      <c r="M85" s="152"/>
      <c r="N85" s="153">
        <f t="shared" si="10"/>
        <v>17.217616118196606</v>
      </c>
      <c r="O85" s="153">
        <f t="shared" si="10"/>
        <v>37.192950018233461</v>
      </c>
      <c r="P85" s="154"/>
      <c r="S85" s="96"/>
    </row>
    <row r="86" spans="3:19" ht="12">
      <c r="C86" s="142" t="str">
        <f t="shared" si="7"/>
        <v>Paquete Telmex Negocio Ilimitado 3No Residencial</v>
      </c>
      <c r="D86" s="91">
        <f t="shared" si="8"/>
        <v>25</v>
      </c>
      <c r="E86" s="143" t="str">
        <v>Paquete Telmex Negocio Ilimitado 3</v>
      </c>
      <c r="F86" s="143" t="str">
        <f t="shared" si="9"/>
        <v>No Residencial</v>
      </c>
      <c r="G86" s="143" t="str">
        <f t="shared" si="9"/>
        <v>Telefonía fija + Internet fijo</v>
      </c>
      <c r="H86" s="16" t="s">
        <v>306</v>
      </c>
      <c r="I86" s="152"/>
      <c r="J86" s="152"/>
      <c r="K86" s="152"/>
      <c r="L86" s="152"/>
      <c r="M86" s="152"/>
      <c r="N86" s="153">
        <f t="shared" si="10"/>
        <v>18.365457192743047</v>
      </c>
      <c r="O86" s="153">
        <f t="shared" si="10"/>
        <v>18.59647500911673</v>
      </c>
      <c r="P86" s="154"/>
      <c r="S86" s="96"/>
    </row>
    <row r="87" spans="3:19" ht="12">
      <c r="C87" s="142" t="str">
        <f t="shared" si="7"/>
        <v>Infinitum 299 NNo Residencial</v>
      </c>
      <c r="D87" s="91">
        <f t="shared" si="8"/>
        <v>26</v>
      </c>
      <c r="E87" s="143" t="str">
        <v>Infinitum 299 N</v>
      </c>
      <c r="F87" s="143" t="str">
        <f t="shared" si="9"/>
        <v>No Residencial</v>
      </c>
      <c r="G87" s="143" t="str">
        <f t="shared" si="9"/>
        <v>Internet fijo</v>
      </c>
      <c r="H87" s="16" t="s">
        <v>306</v>
      </c>
      <c r="I87" s="152"/>
      <c r="J87" s="152"/>
      <c r="K87" s="152"/>
      <c r="L87" s="152"/>
      <c r="M87" s="152"/>
      <c r="N87" s="153">
        <f t="shared" si="10"/>
        <v>3030.3004368026027</v>
      </c>
      <c r="O87" s="153">
        <f t="shared" si="10"/>
        <v>4898.7030221383811</v>
      </c>
      <c r="P87" s="154"/>
      <c r="S87" s="96"/>
    </row>
    <row r="88" spans="3:19" ht="12">
      <c r="C88" s="142" t="str">
        <f t="shared" si="7"/>
        <v>Infinitum Negocio 349No Residencial</v>
      </c>
      <c r="D88" s="91">
        <f t="shared" si="8"/>
        <v>27</v>
      </c>
      <c r="E88" s="143" t="str">
        <v>Infinitum Negocio 349</v>
      </c>
      <c r="F88" s="143" t="str">
        <f t="shared" si="9"/>
        <v>No Residencial</v>
      </c>
      <c r="G88" s="143" t="str">
        <f t="shared" si="9"/>
        <v>Internet fijo</v>
      </c>
      <c r="H88" s="16" t="s">
        <v>306</v>
      </c>
      <c r="I88" s="152"/>
      <c r="J88" s="152"/>
      <c r="K88" s="152"/>
      <c r="L88" s="152"/>
      <c r="M88" s="152"/>
      <c r="N88" s="153">
        <f t="shared" si="10"/>
        <v>96763.002584264919</v>
      </c>
      <c r="O88" s="153">
        <f t="shared" si="10"/>
        <v>123982.69888578125</v>
      </c>
      <c r="P88" s="154"/>
      <c r="S88" s="96"/>
    </row>
    <row r="89" spans="3:19" ht="12">
      <c r="C89" s="142" t="str">
        <f t="shared" si="7"/>
        <v>Infinitum Negocio 399No Residencial</v>
      </c>
      <c r="D89" s="91">
        <f t="shared" si="8"/>
        <v>28</v>
      </c>
      <c r="E89" s="143" t="str">
        <v>Infinitum Negocio 399</v>
      </c>
      <c r="F89" s="143" t="str">
        <f t="shared" si="9"/>
        <v>No Residencial</v>
      </c>
      <c r="G89" s="143" t="str">
        <f t="shared" si="9"/>
        <v>Internet fijo</v>
      </c>
      <c r="H89" s="16" t="s">
        <v>306</v>
      </c>
      <c r="I89" s="152"/>
      <c r="J89" s="152"/>
      <c r="K89" s="152"/>
      <c r="L89" s="152"/>
      <c r="M89" s="152"/>
      <c r="N89" s="153">
        <f t="shared" si="10"/>
        <v>6317.7172743036081</v>
      </c>
      <c r="O89" s="153">
        <f t="shared" si="10"/>
        <v>17406.30060853326</v>
      </c>
      <c r="P89" s="154"/>
      <c r="S89" s="96"/>
    </row>
    <row r="90" spans="3:19" ht="12">
      <c r="C90" s="142" t="str">
        <f t="shared" si="7"/>
        <v>Infinitum Negocio 449No Residencial</v>
      </c>
      <c r="D90" s="91">
        <f t="shared" si="8"/>
        <v>29</v>
      </c>
      <c r="E90" s="143" t="str">
        <v>Infinitum Negocio 449</v>
      </c>
      <c r="F90" s="143" t="str">
        <f t="shared" si="9"/>
        <v>No Residencial</v>
      </c>
      <c r="G90" s="143" t="str">
        <f t="shared" si="9"/>
        <v>Internet fijo</v>
      </c>
      <c r="H90" s="16" t="s">
        <v>306</v>
      </c>
      <c r="I90" s="152"/>
      <c r="J90" s="152"/>
      <c r="K90" s="152"/>
      <c r="L90" s="152"/>
      <c r="M90" s="152"/>
      <c r="N90" s="153">
        <f t="shared" si="10"/>
        <v>6958.2125939005218</v>
      </c>
      <c r="O90" s="153">
        <f t="shared" si="10"/>
        <v>11577.773835939041</v>
      </c>
      <c r="P90" s="154"/>
      <c r="S90" s="96"/>
    </row>
    <row r="91" spans="3:19" ht="12">
      <c r="C91" s="142" t="str">
        <f t="shared" si="7"/>
        <v>Infinitum Negocio 549No Residencial</v>
      </c>
      <c r="D91" s="91">
        <f t="shared" si="8"/>
        <v>30</v>
      </c>
      <c r="E91" s="143" t="str">
        <v>Infinitum Negocio 549</v>
      </c>
      <c r="F91" s="143" t="str">
        <f t="shared" si="9"/>
        <v>No Residencial</v>
      </c>
      <c r="G91" s="143" t="str">
        <f t="shared" si="9"/>
        <v>Internet fijo</v>
      </c>
      <c r="H91" s="16" t="s">
        <v>306</v>
      </c>
      <c r="I91" s="152"/>
      <c r="J91" s="152"/>
      <c r="K91" s="152"/>
      <c r="L91" s="152"/>
      <c r="M91" s="152"/>
      <c r="N91" s="153">
        <f t="shared" si="10"/>
        <v>20447.640901970288</v>
      </c>
      <c r="O91" s="153">
        <f t="shared" si="10"/>
        <v>22858.004071732215</v>
      </c>
      <c r="P91" s="154"/>
      <c r="S91" s="96"/>
    </row>
    <row r="92" spans="3:19" ht="12">
      <c r="C92" s="142" t="str">
        <f t="shared" si="7"/>
        <v>Infinitum Negocio 899No Residencial</v>
      </c>
      <c r="D92" s="91">
        <f t="shared" si="8"/>
        <v>31</v>
      </c>
      <c r="E92" s="143" t="str">
        <v>Infinitum Negocio 899</v>
      </c>
      <c r="F92" s="143" t="str">
        <f t="shared" si="9"/>
        <v>No Residencial</v>
      </c>
      <c r="G92" s="143" t="str">
        <f t="shared" si="9"/>
        <v>Internet fijo</v>
      </c>
      <c r="H92" s="16" t="s">
        <v>306</v>
      </c>
      <c r="I92" s="152"/>
      <c r="J92" s="152"/>
      <c r="K92" s="152"/>
      <c r="L92" s="152"/>
      <c r="M92" s="152"/>
      <c r="N92" s="153">
        <f t="shared" si="10"/>
        <v>5660.0043385884974</v>
      </c>
      <c r="O92" s="153">
        <f t="shared" si="10"/>
        <v>5612.2204053829118</v>
      </c>
      <c r="P92" s="154"/>
      <c r="S92" s="96"/>
    </row>
    <row r="93" spans="3:19" ht="12">
      <c r="C93" s="142" t="str">
        <f t="shared" si="7"/>
        <v>Infinitum NegocioNo Residencial</v>
      </c>
      <c r="D93" s="91">
        <f t="shared" si="8"/>
        <v>32</v>
      </c>
      <c r="E93" s="143" t="str">
        <v>Infinitum Negocio</v>
      </c>
      <c r="F93" s="143" t="str">
        <f t="shared" si="9"/>
        <v>No Residencial</v>
      </c>
      <c r="G93" s="143" t="str">
        <f t="shared" si="9"/>
        <v>Internet fijo</v>
      </c>
      <c r="H93" s="16" t="s">
        <v>306</v>
      </c>
      <c r="I93" s="152"/>
      <c r="J93" s="152"/>
      <c r="K93" s="152"/>
      <c r="L93" s="152"/>
      <c r="M93" s="152"/>
      <c r="N93" s="153">
        <f t="shared" si="10"/>
        <v>43410.201598271829</v>
      </c>
      <c r="O93" s="153">
        <f t="shared" si="10"/>
        <v>40133.150593359074</v>
      </c>
      <c r="P93" s="154"/>
      <c r="S93" s="96"/>
    </row>
    <row r="94" spans="3:19" ht="12">
      <c r="C94" s="142" t="str">
        <f t="shared" si="7"/>
        <v>Infinitum Negocio RedNo Residencial</v>
      </c>
      <c r="D94" s="91">
        <f t="shared" si="8"/>
        <v>33</v>
      </c>
      <c r="E94" s="143" t="str">
        <v>Infinitum Negocio Red</v>
      </c>
      <c r="F94" s="143" t="str">
        <f t="shared" ref="F94:G95" si="11">F53</f>
        <v>No Residencial</v>
      </c>
      <c r="G94" s="143" t="str">
        <f t="shared" si="11"/>
        <v>Internet fijo</v>
      </c>
      <c r="H94" s="16" t="s">
        <v>306</v>
      </c>
      <c r="I94" s="152"/>
      <c r="J94" s="152"/>
      <c r="K94" s="152"/>
      <c r="L94" s="152"/>
      <c r="M94" s="152"/>
      <c r="N94" s="153">
        <f t="shared" ref="N94:O95" si="12">IFERROR(N$10*N53,"")</f>
        <v>13027.9961961021</v>
      </c>
      <c r="O94" s="153">
        <f t="shared" si="12"/>
        <v>8624.8493568598224</v>
      </c>
      <c r="P94" s="154"/>
      <c r="S94" s="96"/>
    </row>
    <row r="95" spans="3:19" ht="12.75" thickBot="1">
      <c r="C95" s="142" t="str">
        <f t="shared" si="7"/>
        <v>Infinitum Negocio PremiumNo Residencial</v>
      </c>
      <c r="D95" s="91">
        <f t="shared" si="8"/>
        <v>34</v>
      </c>
      <c r="E95" s="143" t="str">
        <v>Infinitum Negocio Premium</v>
      </c>
      <c r="F95" s="143" t="str">
        <f t="shared" si="11"/>
        <v>No Residencial</v>
      </c>
      <c r="G95" s="143" t="str">
        <f t="shared" si="11"/>
        <v>Internet fijo</v>
      </c>
      <c r="H95" s="16" t="s">
        <v>306</v>
      </c>
      <c r="I95" s="152"/>
      <c r="J95" s="152"/>
      <c r="K95" s="152"/>
      <c r="L95" s="152"/>
      <c r="M95" s="152"/>
      <c r="N95" s="153">
        <f t="shared" si="12"/>
        <v>13861.328816222815</v>
      </c>
      <c r="O95" s="153">
        <f t="shared" si="12"/>
        <v>12209.075224406426</v>
      </c>
      <c r="P95" s="154"/>
      <c r="S95" s="96"/>
    </row>
    <row r="96" spans="3:19" ht="12">
      <c r="E96" s="149"/>
      <c r="F96" s="50"/>
      <c r="G96" s="50"/>
      <c r="H96" s="50"/>
      <c r="I96" s="50"/>
      <c r="J96" s="50"/>
      <c r="K96" s="50"/>
      <c r="L96" s="50"/>
      <c r="M96" s="50"/>
      <c r="N96" s="50"/>
      <c r="O96" s="50"/>
      <c r="P96" s="50"/>
      <c r="Q96" s="150" t="s">
        <v>323</v>
      </c>
      <c r="R96" s="50"/>
      <c r="S96" s="50"/>
    </row>
    <row r="97" spans="1:19" ht="12">
      <c r="C97" s="96"/>
      <c r="D97" s="96"/>
    </row>
    <row r="98" spans="1:19" ht="12">
      <c r="B98" s="94">
        <v>1.3</v>
      </c>
      <c r="C98" s="94" t="s">
        <v>324</v>
      </c>
      <c r="D98" s="94"/>
      <c r="E98" s="73"/>
      <c r="F98" s="73"/>
      <c r="G98" s="73"/>
      <c r="H98" s="73"/>
      <c r="I98" s="73"/>
      <c r="J98" s="73"/>
      <c r="K98" s="73"/>
      <c r="L98" s="73"/>
      <c r="M98" s="73"/>
      <c r="N98" s="73"/>
      <c r="O98" s="73"/>
      <c r="P98" s="73"/>
      <c r="Q98" s="73"/>
      <c r="R98" s="73"/>
      <c r="S98" s="73"/>
    </row>
    <row r="99" spans="1:19" ht="12">
      <c r="C99" s="96"/>
      <c r="D99" s="96"/>
    </row>
    <row r="100" spans="1:19" ht="12">
      <c r="C100" s="96" t="s">
        <v>325</v>
      </c>
      <c r="D100" s="96"/>
    </row>
    <row r="101" spans="1:19" ht="12">
      <c r="C101" s="97" t="s">
        <v>326</v>
      </c>
      <c r="D101" s="97"/>
      <c r="H101" s="16" t="s">
        <v>306</v>
      </c>
      <c r="I101" s="152"/>
      <c r="J101" s="152"/>
      <c r="K101" s="152"/>
      <c r="L101" s="152"/>
      <c r="M101" s="152"/>
      <c r="N101" s="155">
        <f>SUMIFS(N62:N95,$F$62:$F$95,"Residencial")</f>
        <v>8967930.8004094977</v>
      </c>
      <c r="O101" s="155">
        <f>SUMIFS(O62:O95,$F$62:$F$95,"Residencial")</f>
        <v>9259379.6806458961</v>
      </c>
      <c r="Q101" s="79" t="s">
        <v>327</v>
      </c>
    </row>
    <row r="102" spans="1:19" ht="12">
      <c r="C102" s="97"/>
      <c r="D102" s="97"/>
      <c r="H102" s="16"/>
    </row>
    <row r="103" spans="1:19" ht="12">
      <c r="C103" s="97" t="s">
        <v>328</v>
      </c>
      <c r="D103" s="97"/>
      <c r="H103" s="16" t="s">
        <v>306</v>
      </c>
      <c r="I103" s="152"/>
      <c r="J103" s="152"/>
      <c r="K103" s="152"/>
      <c r="L103" s="152"/>
      <c r="M103" s="152"/>
      <c r="N103" s="155">
        <f>N101-SUMIFS(N$62:N$95,$F$62:$F$95,"Residencial",$G$62:$G$95,"Internet fijo")</f>
        <v>6663483.7368713804</v>
      </c>
      <c r="O103" s="155">
        <f>O101-SUMIFS(O$62:O$95,$F$62:$F$95,"Residencial",$G$62:$G$95,"Internet fijo")</f>
        <v>7224662.0277128704</v>
      </c>
      <c r="Q103" s="79" t="s">
        <v>329</v>
      </c>
    </row>
    <row r="104" spans="1:19" ht="12">
      <c r="C104" s="97"/>
      <c r="D104" s="97"/>
      <c r="H104" s="16"/>
    </row>
    <row r="105" spans="1:19" ht="12">
      <c r="C105" s="97" t="s">
        <v>330</v>
      </c>
      <c r="D105" s="97"/>
      <c r="H105" s="16" t="s">
        <v>306</v>
      </c>
      <c r="I105" s="152"/>
      <c r="J105" s="152"/>
      <c r="K105" s="152"/>
      <c r="L105" s="152"/>
      <c r="M105" s="152"/>
      <c r="N105" s="155">
        <f>SUMIFS(N62:N95,$G$62:$G$95,"Internet fijo")</f>
        <v>2513923.4682785445</v>
      </c>
      <c r="O105" s="155">
        <f>SUMIFS(O62:O95,$G$62:$G$95,"Internet fijo")</f>
        <v>2282020.4289371585</v>
      </c>
      <c r="Q105" s="79" t="s">
        <v>331</v>
      </c>
    </row>
    <row r="106" spans="1:19" ht="12">
      <c r="C106" s="97"/>
      <c r="D106" s="97"/>
    </row>
    <row r="107" spans="1:19" ht="12">
      <c r="C107" s="97" t="s">
        <v>332</v>
      </c>
      <c r="D107" s="97"/>
      <c r="H107" s="16" t="s">
        <v>306</v>
      </c>
      <c r="I107" s="152"/>
      <c r="J107" s="152"/>
      <c r="K107" s="152"/>
      <c r="L107" s="152"/>
      <c r="M107" s="152"/>
      <c r="N107" s="155">
        <f>SUMIFS(N62:N95,$F$62:$F$95,"No Residencial")</f>
        <v>1521035.1995905007</v>
      </c>
      <c r="O107" s="155">
        <f>SUMIFS(O62:O95,$F$62:$F$95,"No Residencial")</f>
        <v>1554342.3193541057</v>
      </c>
      <c r="Q107" s="79" t="s">
        <v>333</v>
      </c>
    </row>
    <row r="108" spans="1:19" ht="12">
      <c r="C108" s="96"/>
      <c r="D108" s="96"/>
    </row>
    <row r="109" spans="1:19" ht="12">
      <c r="K109" s="156"/>
    </row>
    <row r="110" spans="1:19" ht="12">
      <c r="A110" s="94">
        <v>2</v>
      </c>
      <c r="B110" s="94" t="s">
        <v>334</v>
      </c>
      <c r="C110" s="73"/>
      <c r="D110" s="73"/>
      <c r="E110" s="73"/>
      <c r="F110" s="73"/>
      <c r="G110" s="73"/>
      <c r="H110" s="73"/>
      <c r="I110" s="73"/>
      <c r="J110" s="73"/>
      <c r="K110" s="73"/>
      <c r="L110" s="73"/>
      <c r="M110" s="73"/>
      <c r="N110" s="73"/>
      <c r="O110" s="73"/>
      <c r="P110" s="73"/>
      <c r="Q110" s="73"/>
      <c r="R110" s="73"/>
      <c r="S110" s="73"/>
    </row>
    <row r="111" spans="1:19" ht="12"/>
    <row r="112" spans="1:19" ht="12">
      <c r="B112" s="94">
        <v>2.1</v>
      </c>
      <c r="C112" s="94" t="s">
        <v>335</v>
      </c>
      <c r="D112" s="94"/>
      <c r="E112" s="73"/>
      <c r="F112" s="73"/>
      <c r="G112" s="73"/>
      <c r="H112" s="73"/>
      <c r="I112" s="73"/>
      <c r="J112" s="73"/>
      <c r="K112" s="73"/>
      <c r="L112" s="73"/>
      <c r="M112" s="73"/>
      <c r="N112" s="73"/>
      <c r="O112" s="73"/>
      <c r="P112" s="73"/>
      <c r="Q112" s="73"/>
      <c r="R112" s="73"/>
      <c r="S112" s="73"/>
    </row>
    <row r="113" spans="2:19" ht="12"/>
    <row r="114" spans="2:19" ht="12">
      <c r="C114" s="96" t="s">
        <v>336</v>
      </c>
      <c r="D114" s="96"/>
      <c r="L114" s="157"/>
    </row>
    <row r="115" spans="2:19" ht="12"/>
    <row r="116" spans="2:19" ht="11.45" customHeight="1">
      <c r="C116" s="97" t="s">
        <v>337</v>
      </c>
      <c r="D116" s="97"/>
      <c r="H116" s="16" t="s">
        <v>338</v>
      </c>
      <c r="I116" s="133"/>
      <c r="J116" s="133"/>
      <c r="K116" s="133"/>
      <c r="L116" s="133"/>
      <c r="M116" s="133"/>
      <c r="N116" s="134">
        <v>28784594</v>
      </c>
      <c r="O116" s="134">
        <v>29427091</v>
      </c>
      <c r="Q116" t="s">
        <v>339</v>
      </c>
      <c r="S116" t="s">
        <v>308</v>
      </c>
    </row>
    <row r="117" spans="2:19" ht="12">
      <c r="H117" s="16"/>
    </row>
    <row r="118" spans="2:19" ht="12">
      <c r="C118" s="96" t="s">
        <v>340</v>
      </c>
      <c r="D118" s="96"/>
      <c r="H118" s="16"/>
    </row>
    <row r="119" spans="2:19" ht="12">
      <c r="H119" s="16"/>
    </row>
    <row r="120" spans="2:19" ht="12" customHeight="1">
      <c r="C120" s="97" t="s">
        <v>341</v>
      </c>
      <c r="D120" s="97"/>
      <c r="H120" s="16" t="s">
        <v>338</v>
      </c>
      <c r="I120" s="133"/>
      <c r="J120" s="133"/>
      <c r="K120" s="133"/>
      <c r="L120" s="133"/>
      <c r="M120" s="133"/>
      <c r="N120" s="134">
        <v>10115240</v>
      </c>
      <c r="O120" s="134">
        <v>10218136</v>
      </c>
      <c r="P120" s="79" t="s">
        <v>342</v>
      </c>
      <c r="Q120" t="s">
        <v>339</v>
      </c>
      <c r="S120" t="s">
        <v>308</v>
      </c>
    </row>
    <row r="121" spans="2:19" ht="12">
      <c r="H121" s="16"/>
      <c r="I121" s="158"/>
    </row>
    <row r="122" spans="2:19" ht="12">
      <c r="C122" s="96" t="s">
        <v>311</v>
      </c>
      <c r="D122" s="96"/>
      <c r="H122" s="16"/>
    </row>
    <row r="123" spans="2:19" ht="12">
      <c r="H123" s="16"/>
    </row>
    <row r="124" spans="2:19" ht="12">
      <c r="C124" s="97" t="s">
        <v>343</v>
      </c>
      <c r="D124" s="97"/>
      <c r="H124" s="16" t="s">
        <v>344</v>
      </c>
      <c r="I124" s="133" t="str">
        <f>IFERROR(I120/I116,"")</f>
        <v/>
      </c>
      <c r="J124" s="133" t="str">
        <f>IFERROR(J120/J116,"")</f>
        <v/>
      </c>
      <c r="K124" s="133"/>
      <c r="L124" s="133"/>
      <c r="M124" s="133"/>
      <c r="N124" s="159">
        <f>IFERROR(N120/N116,"")</f>
        <v>0.35141159190919974</v>
      </c>
      <c r="O124" s="159">
        <f>IFERROR(O120/O116,"")</f>
        <v>0.3472356815697481</v>
      </c>
    </row>
    <row r="125" spans="2:19" ht="12">
      <c r="C125" s="97"/>
      <c r="D125" s="97"/>
      <c r="H125" s="16"/>
    </row>
    <row r="126" spans="2:19" ht="12"/>
    <row r="127" spans="2:19" ht="12">
      <c r="B127" s="94">
        <v>2.2000000000000002</v>
      </c>
      <c r="C127" s="94" t="s">
        <v>345</v>
      </c>
      <c r="D127" s="94"/>
      <c r="E127" s="73"/>
      <c r="F127" s="73"/>
      <c r="G127" s="73"/>
      <c r="H127" s="73"/>
      <c r="I127" s="73"/>
      <c r="J127" s="73"/>
      <c r="K127" s="73"/>
      <c r="L127" s="73"/>
      <c r="M127" s="73"/>
      <c r="N127" s="73"/>
      <c r="O127" s="73"/>
      <c r="P127" s="73"/>
      <c r="Q127" s="73"/>
      <c r="R127" s="73"/>
      <c r="S127" s="73"/>
    </row>
    <row r="128" spans="2:19" ht="12"/>
    <row r="129" spans="3:16" ht="12"/>
    <row r="130" spans="3:16" ht="12">
      <c r="C130" s="96" t="s">
        <v>346</v>
      </c>
      <c r="D130" s="96"/>
    </row>
    <row r="131" spans="3:16" ht="12">
      <c r="C131" s="97" t="s">
        <v>309</v>
      </c>
      <c r="D131" s="97"/>
      <c r="H131" s="16" t="s">
        <v>306</v>
      </c>
      <c r="I131" s="160"/>
      <c r="J131" s="160"/>
      <c r="K131" s="160"/>
      <c r="L131" s="160"/>
      <c r="M131" s="160"/>
      <c r="N131" s="160">
        <f>Broadbad.suscriptions.AEP</f>
        <v>10488966</v>
      </c>
      <c r="O131" s="160">
        <f>Broadbad.suscriptions.AEP</f>
        <v>10813722</v>
      </c>
      <c r="P131" s="16"/>
    </row>
    <row r="132" spans="3:16" ht="12">
      <c r="C132" s="97"/>
      <c r="D132" s="97"/>
      <c r="H132" s="16"/>
    </row>
    <row r="133" spans="3:16" ht="12">
      <c r="C133" s="97" t="s">
        <v>341</v>
      </c>
      <c r="D133" s="97"/>
      <c r="H133" s="16" t="s">
        <v>338</v>
      </c>
      <c r="I133" s="160"/>
      <c r="J133" s="160"/>
      <c r="K133" s="160"/>
      <c r="L133" s="160"/>
      <c r="M133" s="160"/>
      <c r="N133" s="160">
        <f>AEP.telephone.lines</f>
        <v>10115240</v>
      </c>
      <c r="O133" s="160">
        <f>AEP.telephone.lines</f>
        <v>10218136</v>
      </c>
      <c r="P133" s="16"/>
    </row>
    <row r="134" spans="3:16" ht="12">
      <c r="C134" s="97"/>
      <c r="D134" s="97"/>
      <c r="H134" s="16"/>
    </row>
    <row r="135" spans="3:16" ht="12">
      <c r="C135" s="97" t="s">
        <v>347</v>
      </c>
      <c r="D135" s="97"/>
      <c r="H135" s="16" t="s">
        <v>306</v>
      </c>
      <c r="I135" s="160"/>
      <c r="J135" s="160"/>
      <c r="K135" s="160"/>
      <c r="L135" s="160"/>
      <c r="M135" s="160"/>
      <c r="N135" s="160">
        <f>AEP.broadband.subs.residential.without.line.rental</f>
        <v>2513923.4682785445</v>
      </c>
      <c r="O135" s="160">
        <f>AEP.broadband.subs.residential.without.line.rental</f>
        <v>2282020.4289371585</v>
      </c>
      <c r="P135" s="16"/>
    </row>
    <row r="136" spans="3:16" ht="12">
      <c r="C136" s="97"/>
      <c r="D136" s="97"/>
    </row>
    <row r="137" spans="3:16" ht="12">
      <c r="C137" s="97" t="s">
        <v>348</v>
      </c>
      <c r="D137" s="97"/>
      <c r="H137" s="16" t="s">
        <v>306</v>
      </c>
      <c r="I137" s="159"/>
      <c r="J137" s="159"/>
      <c r="K137" s="159"/>
      <c r="L137" s="159"/>
      <c r="M137" s="159" t="str">
        <f>IFERROR(M135/M131,"")</f>
        <v/>
      </c>
      <c r="N137" s="159">
        <f>IFERROR(N135/N131,"")</f>
        <v>0.2396731449294949</v>
      </c>
      <c r="O137" s="159">
        <f>IFERROR(O135/O131,"")</f>
        <v>0.2110300624463213</v>
      </c>
    </row>
    <row r="138" spans="3:16" ht="12">
      <c r="C138" s="97"/>
      <c r="D138" s="97"/>
    </row>
    <row r="139" spans="3:16" ht="12">
      <c r="C139" s="96" t="s">
        <v>349</v>
      </c>
      <c r="D139" s="96"/>
    </row>
    <row r="140" spans="3:16" ht="12">
      <c r="C140" s="97"/>
      <c r="D140" s="97"/>
    </row>
    <row r="141" spans="3:16" ht="12">
      <c r="C141" s="97" t="s">
        <v>350</v>
      </c>
      <c r="D141" s="97"/>
      <c r="H141" s="16" t="s">
        <v>338</v>
      </c>
      <c r="I141" s="161"/>
      <c r="J141" s="161"/>
      <c r="K141" s="161"/>
      <c r="L141" s="161"/>
      <c r="M141" s="161"/>
      <c r="N141" s="161">
        <f>N133-(N131-N135)</f>
        <v>2140197.468278544</v>
      </c>
      <c r="O141" s="161">
        <f>O133-(O131-O135)</f>
        <v>1686434.4289371595</v>
      </c>
      <c r="P141" s="79" t="s">
        <v>351</v>
      </c>
    </row>
    <row r="142" spans="3:16" ht="12"/>
    <row r="143" spans="3:16" ht="12">
      <c r="C143" s="102" t="s">
        <v>352</v>
      </c>
      <c r="D143" s="97"/>
      <c r="H143" s="16" t="s">
        <v>338</v>
      </c>
      <c r="I143" s="161"/>
      <c r="J143" s="161"/>
      <c r="K143" s="161"/>
      <c r="L143" s="161"/>
      <c r="M143" s="161"/>
      <c r="N143" s="161">
        <f>N141*N154</f>
        <v>1471983.470283021</v>
      </c>
      <c r="O143" s="161">
        <f>O141*O154</f>
        <v>1184287.0621613099</v>
      </c>
      <c r="P143" s="79" t="s">
        <v>353</v>
      </c>
    </row>
    <row r="144" spans="3:16" ht="12">
      <c r="C144" s="111"/>
    </row>
    <row r="145" spans="2:19" ht="12">
      <c r="C145" s="102" t="s">
        <v>354</v>
      </c>
      <c r="D145" s="97"/>
      <c r="H145" s="16" t="s">
        <v>338</v>
      </c>
      <c r="I145" s="161"/>
      <c r="J145" s="161"/>
      <c r="K145" s="161"/>
      <c r="L145" s="161"/>
      <c r="M145" s="161"/>
      <c r="N145" s="161">
        <f>N141-N143</f>
        <v>668213.99799552304</v>
      </c>
      <c r="O145" s="161">
        <f>O141-O143</f>
        <v>502147.3667758496</v>
      </c>
      <c r="P145" s="79" t="s">
        <v>355</v>
      </c>
    </row>
    <row r="146" spans="2:19" ht="12"/>
    <row r="147" spans="2:19" ht="12">
      <c r="B147" s="94">
        <v>2.2999999999999998</v>
      </c>
      <c r="C147" s="94" t="s">
        <v>356</v>
      </c>
      <c r="D147" s="94"/>
      <c r="E147" s="73"/>
      <c r="F147" s="73"/>
      <c r="G147" s="73"/>
      <c r="H147" s="73"/>
      <c r="I147" s="73"/>
      <c r="J147" s="73"/>
      <c r="K147" s="73"/>
      <c r="L147" s="73"/>
      <c r="M147" s="73"/>
      <c r="N147" s="73"/>
      <c r="O147" s="73"/>
      <c r="P147" s="73"/>
      <c r="Q147" s="73"/>
      <c r="R147" s="73"/>
      <c r="S147" s="73"/>
    </row>
    <row r="148" spans="2:19" ht="12">
      <c r="C148" s="96"/>
      <c r="D148" s="96"/>
    </row>
    <row r="149" spans="2:19" ht="12">
      <c r="C149" s="96" t="s">
        <v>357</v>
      </c>
      <c r="D149" s="96"/>
    </row>
    <row r="150" spans="2:19" ht="12">
      <c r="C150" s="96"/>
      <c r="D150" s="96"/>
      <c r="N150">
        <v>4</v>
      </c>
      <c r="O150">
        <v>5</v>
      </c>
    </row>
    <row r="151" spans="2:19" ht="12">
      <c r="E151" s="40" t="s">
        <v>317</v>
      </c>
      <c r="F151" s="40" t="s">
        <v>318</v>
      </c>
      <c r="G151" s="40" t="s">
        <v>319</v>
      </c>
      <c r="H151" s="40" t="s">
        <v>213</v>
      </c>
      <c r="I151" s="40">
        <f t="array" ref="I151:O151">TRANSPOSE(Years)</f>
        <v>2018</v>
      </c>
      <c r="J151" s="40">
        <v>2019</v>
      </c>
      <c r="K151" s="40">
        <v>2020</v>
      </c>
      <c r="L151" s="40">
        <v>2021</v>
      </c>
      <c r="M151" s="40">
        <v>2022</v>
      </c>
      <c r="N151" s="40">
        <v>2023</v>
      </c>
      <c r="O151" s="40">
        <v>2024</v>
      </c>
      <c r="P151" s="40"/>
      <c r="Q151" s="40" t="s">
        <v>215</v>
      </c>
    </row>
    <row r="152" spans="2:19" ht="12">
      <c r="I152" s="141">
        <f t="shared" ref="I152:O152" si="13">SUM(I153:I154)</f>
        <v>0</v>
      </c>
      <c r="J152" s="141">
        <f t="shared" si="13"/>
        <v>0</v>
      </c>
      <c r="K152" s="141">
        <f t="shared" si="13"/>
        <v>0</v>
      </c>
      <c r="L152" s="141">
        <f t="shared" si="13"/>
        <v>0</v>
      </c>
      <c r="M152" s="141">
        <f t="shared" si="13"/>
        <v>0</v>
      </c>
      <c r="N152" s="141">
        <f t="shared" si="13"/>
        <v>1</v>
      </c>
      <c r="O152" s="141">
        <f t="shared" si="13"/>
        <v>1</v>
      </c>
      <c r="Q152" t="s">
        <v>339</v>
      </c>
      <c r="S152" s="96"/>
    </row>
    <row r="153" spans="2:19" ht="12">
      <c r="D153" s="95">
        <v>1</v>
      </c>
      <c r="E153" s="143" t="str">
        <f t="array" ref="E153:E154">vector.telephony.plans.names</f>
        <v>Renta Mensual de la Línea Residencial</v>
      </c>
      <c r="F153" s="162" t="s">
        <v>358</v>
      </c>
      <c r="G153" s="162" t="s">
        <v>334</v>
      </c>
      <c r="H153" s="16" t="s">
        <v>223</v>
      </c>
      <c r="I153" s="163"/>
      <c r="J153" s="163"/>
      <c r="K153" s="163"/>
      <c r="L153" s="163"/>
      <c r="M153" s="163"/>
      <c r="N153" s="146">
        <f>IFERROR(VLOOKUP($E153,'Planes y paquetes'!$C$564:$G$565,N150,FALSE),0)/(SUMIFS('Planes y paquetes'!$F$564:$F$565,'Planes y paquetes'!$E$564:$E$565,"Telefonía fija"))</f>
        <v>0.31222072163882952</v>
      </c>
      <c r="O153" s="146">
        <f>IFERROR(VLOOKUP($E153,'Planes y paquetes'!$C$564:$G$565,O150,FALSE),0)/(SUMIFS('Planes y paquetes'!$G$564:$G$565,'Planes y paquetes'!$E$564:$E$565,"Telefonía fija"))</f>
        <v>0.2977568283471998</v>
      </c>
      <c r="Q153" t="s">
        <v>339</v>
      </c>
      <c r="S153" s="96"/>
    </row>
    <row r="154" spans="2:19" ht="12.75" thickBot="1">
      <c r="D154" s="91">
        <f>1+D153</f>
        <v>2</v>
      </c>
      <c r="E154" s="143" t="str">
        <v>Renta Mensual de la Línea Comercial</v>
      </c>
      <c r="F154" s="162" t="s">
        <v>359</v>
      </c>
      <c r="G154" s="162" t="s">
        <v>334</v>
      </c>
      <c r="H154" s="16" t="s">
        <v>223</v>
      </c>
      <c r="I154" s="163"/>
      <c r="J154" s="163"/>
      <c r="K154" s="163"/>
      <c r="L154" s="163"/>
      <c r="M154" s="163"/>
      <c r="N154" s="146">
        <f>IFERROR(VLOOKUP($E154,'Planes y paquetes'!$C$564:$G$565,N150,FALSE),0)/(SUMIFS('Planes y paquetes'!$F$564:$F$565,'Planes y paquetes'!$E$564:$E$565,"Telefonía fija"))</f>
        <v>0.68777927836117048</v>
      </c>
      <c r="O154" s="146">
        <f>IFERROR(VLOOKUP($E154,'Planes y paquetes'!$C$564:$G$565,O150,FALSE),0)/(SUMIFS('Planes y paquetes'!$G$564:$G$565,'Planes y paquetes'!$E$564:$E$565,"Telefonía fija"))</f>
        <v>0.70224317165280026</v>
      </c>
      <c r="Q154" t="s">
        <v>339</v>
      </c>
      <c r="S154" s="96"/>
    </row>
    <row r="155" spans="2:19" ht="12">
      <c r="C155" s="96"/>
      <c r="D155" s="96"/>
      <c r="E155" s="149"/>
      <c r="F155" s="50"/>
      <c r="G155" s="50"/>
      <c r="H155" s="50"/>
      <c r="I155" s="50"/>
      <c r="J155" s="50"/>
      <c r="K155" s="50"/>
      <c r="L155" s="50"/>
      <c r="M155" s="50"/>
      <c r="N155" s="50"/>
      <c r="O155" s="50"/>
      <c r="P155" s="50"/>
      <c r="Q155" s="50"/>
    </row>
    <row r="156" spans="2:19" ht="12">
      <c r="I156" s="121"/>
    </row>
    <row r="157" spans="2:19" ht="12">
      <c r="C157" s="96" t="s">
        <v>360</v>
      </c>
      <c r="D157" s="96"/>
    </row>
    <row r="158" spans="2:19" ht="12">
      <c r="C158" s="96"/>
      <c r="D158" s="96"/>
    </row>
    <row r="159" spans="2:19" ht="12">
      <c r="E159" s="40" t="s">
        <v>317</v>
      </c>
      <c r="F159" s="40" t="s">
        <v>318</v>
      </c>
      <c r="G159" s="40" t="s">
        <v>319</v>
      </c>
      <c r="H159" s="40" t="s">
        <v>213</v>
      </c>
      <c r="I159" s="40">
        <f t="array" ref="I159:O159">TRANSPOSE(Years)</f>
        <v>2018</v>
      </c>
      <c r="J159" s="40">
        <v>2019</v>
      </c>
      <c r="K159" s="40">
        <v>2020</v>
      </c>
      <c r="L159" s="40">
        <v>2021</v>
      </c>
      <c r="M159" s="40">
        <v>2022</v>
      </c>
      <c r="N159" s="40">
        <v>2023</v>
      </c>
      <c r="O159" s="40">
        <v>2024</v>
      </c>
      <c r="P159" s="40"/>
      <c r="Q159" s="40" t="s">
        <v>215</v>
      </c>
    </row>
    <row r="160" spans="2:19" ht="12">
      <c r="I160" s="151">
        <f t="shared" ref="I160:O160" si="14">SUM(I161:I162)</f>
        <v>0</v>
      </c>
      <c r="J160" s="151">
        <f t="shared" si="14"/>
        <v>0</v>
      </c>
      <c r="K160" s="151">
        <f t="shared" si="14"/>
        <v>0</v>
      </c>
      <c r="L160" s="151">
        <f t="shared" si="14"/>
        <v>0</v>
      </c>
      <c r="M160" s="151">
        <f t="shared" si="14"/>
        <v>0</v>
      </c>
      <c r="N160" s="151">
        <f t="shared" si="14"/>
        <v>2140197.468278544</v>
      </c>
      <c r="O160" s="151">
        <f t="shared" si="14"/>
        <v>1686434.4289371595</v>
      </c>
      <c r="Q160" s="96" t="s">
        <v>361</v>
      </c>
    </row>
    <row r="161" spans="3:19" ht="12">
      <c r="D161" s="95">
        <v>1</v>
      </c>
      <c r="E161" s="143" t="str">
        <f t="array" ref="E161:E162">vector.telephony.plans.names</f>
        <v>Renta Mensual de la Línea Residencial</v>
      </c>
      <c r="F161" s="143" t="str">
        <f>F153</f>
        <v>Residencial</v>
      </c>
      <c r="G161" s="143" t="str">
        <f>G153</f>
        <v>Telefonía fija</v>
      </c>
      <c r="H161" s="16" t="s">
        <v>338</v>
      </c>
      <c r="I161" s="163"/>
      <c r="J161" s="163"/>
      <c r="K161" s="163"/>
      <c r="L161" s="163"/>
      <c r="M161" s="163"/>
      <c r="N161" s="134">
        <f>N$141*N153</f>
        <v>668213.99799552292</v>
      </c>
      <c r="O161" s="134">
        <f>O$141*O153</f>
        <v>502147.36677584972</v>
      </c>
      <c r="Q161" s="96" t="s">
        <v>361</v>
      </c>
      <c r="S161" s="96"/>
    </row>
    <row r="162" spans="3:19" ht="12.75" thickBot="1">
      <c r="D162" s="91">
        <f>1+D161</f>
        <v>2</v>
      </c>
      <c r="E162" s="143" t="str">
        <v>Renta Mensual de la Línea Comercial</v>
      </c>
      <c r="F162" s="143" t="str">
        <f>F154</f>
        <v>No Residencial</v>
      </c>
      <c r="G162" s="143" t="str">
        <f>G154</f>
        <v>Telefonía fija</v>
      </c>
      <c r="H162" s="16" t="s">
        <v>338</v>
      </c>
      <c r="I162" s="163"/>
      <c r="J162" s="163"/>
      <c r="K162" s="163"/>
      <c r="L162" s="163"/>
      <c r="M162" s="163"/>
      <c r="N162" s="134">
        <f>N$141*N154</f>
        <v>1471983.470283021</v>
      </c>
      <c r="O162" s="134">
        <f>O$141*O154</f>
        <v>1184287.0621613099</v>
      </c>
      <c r="Q162" s="96" t="s">
        <v>361</v>
      </c>
      <c r="S162" s="96"/>
    </row>
    <row r="163" spans="3:19" ht="12">
      <c r="C163" s="96"/>
      <c r="D163" s="96"/>
      <c r="E163" s="149"/>
      <c r="F163" s="50"/>
      <c r="G163" s="50"/>
      <c r="H163" s="50"/>
      <c r="I163" s="50"/>
      <c r="J163" s="50"/>
      <c r="K163" s="50"/>
      <c r="L163" s="50"/>
      <c r="M163" s="50"/>
      <c r="N163" s="50"/>
      <c r="O163" s="50"/>
      <c r="P163" s="50"/>
      <c r="Q163" s="50"/>
    </row>
    <row r="164" spans="3:19" ht="12">
      <c r="C164" s="96"/>
      <c r="D164" s="96"/>
    </row>
    <row r="165" spans="3:19" ht="12">
      <c r="C165" s="96" t="s">
        <v>362</v>
      </c>
      <c r="D165" s="96"/>
    </row>
    <row r="166" spans="3:19" ht="12">
      <c r="C166" s="96"/>
      <c r="D166" s="96"/>
    </row>
    <row r="167" spans="3:19" ht="12">
      <c r="E167" s="40" t="s">
        <v>317</v>
      </c>
      <c r="F167" s="40" t="s">
        <v>318</v>
      </c>
      <c r="G167" s="40" t="s">
        <v>319</v>
      </c>
      <c r="H167" s="40" t="s">
        <v>213</v>
      </c>
      <c r="I167" s="40">
        <f t="array" ref="I167:O167">TRANSPOSE(Years)</f>
        <v>2018</v>
      </c>
      <c r="J167" s="40">
        <v>2019</v>
      </c>
      <c r="K167" s="40">
        <v>2020</v>
      </c>
      <c r="L167" s="40">
        <v>2021</v>
      </c>
      <c r="M167" s="40">
        <v>2022</v>
      </c>
      <c r="N167" s="40">
        <v>2023</v>
      </c>
      <c r="O167" s="40">
        <v>2024</v>
      </c>
      <c r="P167" s="40"/>
      <c r="Q167" s="40" t="s">
        <v>215</v>
      </c>
    </row>
    <row r="168" spans="3:19" ht="12">
      <c r="I168" s="141">
        <f t="shared" ref="I168:O168" si="15">SUM(I169:I188)</f>
        <v>0</v>
      </c>
      <c r="J168" s="141">
        <f t="shared" si="15"/>
        <v>0</v>
      </c>
      <c r="K168" s="141">
        <f t="shared" si="15"/>
        <v>0</v>
      </c>
      <c r="L168" s="141">
        <f t="shared" si="15"/>
        <v>0</v>
      </c>
      <c r="M168" s="141">
        <f t="shared" si="15"/>
        <v>0</v>
      </c>
      <c r="N168" s="141">
        <f t="shared" si="15"/>
        <v>1.0000000000000002</v>
      </c>
      <c r="O168" s="141">
        <f t="shared" si="15"/>
        <v>1.0000000000000002</v>
      </c>
    </row>
    <row r="169" spans="3:19" ht="12">
      <c r="C169" s="142" t="str">
        <f>E169&amp;F169</f>
        <v>Renta Mensual de la Línea ResidencialResidencial</v>
      </c>
      <c r="D169" s="95">
        <v>1</v>
      </c>
      <c r="E169" s="143" t="str">
        <f t="array" ref="E169:E188">vector.telephony.plans.names</f>
        <v>Renta Mensual de la Línea Residencial</v>
      </c>
      <c r="F169" s="162" t="s">
        <v>358</v>
      </c>
      <c r="G169" s="162" t="s">
        <v>334</v>
      </c>
      <c r="H169" s="16" t="s">
        <v>223</v>
      </c>
      <c r="I169" s="163"/>
      <c r="J169" s="163"/>
      <c r="K169" s="163"/>
      <c r="L169" s="163"/>
      <c r="M169" s="163"/>
      <c r="N169" s="159">
        <f>IFERROR(N195/N$194,"0")</f>
        <v>6.6060122942759938E-2</v>
      </c>
      <c r="O169" s="159">
        <f>IFERROR(O195/O$194,"0")</f>
        <v>4.9142756249853176E-2</v>
      </c>
      <c r="Q169" s="96" t="s">
        <v>320</v>
      </c>
      <c r="S169" s="96"/>
    </row>
    <row r="170" spans="3:19" ht="12">
      <c r="C170" s="142" t="str">
        <f t="shared" ref="C170:C188" si="16">E170&amp;F170</f>
        <v>Renta Mensual de la Línea ComercialNo Residencial</v>
      </c>
      <c r="D170" s="91">
        <f>1+D169</f>
        <v>2</v>
      </c>
      <c r="E170" s="143" t="str">
        <v>Renta Mensual de la Línea Comercial</v>
      </c>
      <c r="F170" s="162" t="s">
        <v>359</v>
      </c>
      <c r="G170" s="162" t="s">
        <v>334</v>
      </c>
      <c r="H170" s="16" t="s">
        <v>223</v>
      </c>
      <c r="I170" s="163"/>
      <c r="J170" s="163"/>
      <c r="K170" s="163"/>
      <c r="L170" s="163"/>
      <c r="M170" s="163"/>
      <c r="N170" s="159">
        <f t="shared" ref="N170:O185" si="17">IFERROR(N196/N$194,"0")</f>
        <v>0.14552135888847137</v>
      </c>
      <c r="O170" s="159">
        <f t="shared" si="17"/>
        <v>0.11590049908919885</v>
      </c>
      <c r="Q170" s="96" t="s">
        <v>320</v>
      </c>
      <c r="S170" s="96"/>
    </row>
    <row r="171" spans="3:19" ht="12">
      <c r="C171" s="142" t="str">
        <f t="shared" si="16"/>
        <v>Paquete 249Residencial</v>
      </c>
      <c r="D171" s="91">
        <f t="shared" ref="D171:D188" si="18">1+D170</f>
        <v>3</v>
      </c>
      <c r="E171" s="143" t="str">
        <v>Paquete 249</v>
      </c>
      <c r="F171" s="143" t="str">
        <f t="shared" ref="F171:F188" si="19">VLOOKUP(E171,$E$62:$G$95,2,)</f>
        <v>Residencial</v>
      </c>
      <c r="G171" s="143" t="str">
        <f t="shared" ref="G171:G188" si="20">VLOOKUP(E171,$E$62:$G$95,3,)</f>
        <v>Telefonía fija + Internet fijo</v>
      </c>
      <c r="H171" s="16" t="s">
        <v>223</v>
      </c>
      <c r="I171" s="163"/>
      <c r="J171" s="163"/>
      <c r="K171" s="163"/>
      <c r="L171" s="163"/>
      <c r="M171" s="163"/>
      <c r="N171" s="159">
        <f t="shared" si="17"/>
        <v>1.2739201694849264E-2</v>
      </c>
      <c r="O171" s="159">
        <f t="shared" si="17"/>
        <v>2.0056400420930185E-2</v>
      </c>
      <c r="Q171" s="96" t="s">
        <v>320</v>
      </c>
      <c r="S171" s="96"/>
    </row>
    <row r="172" spans="3:19" ht="12">
      <c r="C172" s="142" t="str">
        <f t="shared" si="16"/>
        <v>Paquete 289Residencial</v>
      </c>
      <c r="D172" s="91">
        <f t="shared" si="18"/>
        <v>4</v>
      </c>
      <c r="E172" s="143" t="str">
        <v>Paquete 289</v>
      </c>
      <c r="F172" s="143" t="str">
        <f t="shared" si="19"/>
        <v>Residencial</v>
      </c>
      <c r="G172" s="143" t="str">
        <f t="shared" si="20"/>
        <v>Telefonía fija + Internet fijo</v>
      </c>
      <c r="H172" s="16" t="s">
        <v>223</v>
      </c>
      <c r="I172" s="163"/>
      <c r="J172" s="163"/>
      <c r="K172" s="163"/>
      <c r="L172" s="163"/>
      <c r="M172" s="163"/>
      <c r="N172" s="159">
        <f t="shared" si="17"/>
        <v>8.3436931332574096E-3</v>
      </c>
      <c r="O172" s="159">
        <f t="shared" si="17"/>
        <v>5.4153028273011949E-3</v>
      </c>
      <c r="Q172" s="96" t="s">
        <v>320</v>
      </c>
      <c r="S172" s="96"/>
    </row>
    <row r="173" spans="3:19" ht="12">
      <c r="C173" s="142" t="str">
        <f t="shared" si="16"/>
        <v>Paquete 333Residencial</v>
      </c>
      <c r="D173" s="91">
        <f t="shared" si="18"/>
        <v>5</v>
      </c>
      <c r="E173" s="143" t="str">
        <v>Paquete 333</v>
      </c>
      <c r="F173" s="143" t="str">
        <f t="shared" si="19"/>
        <v>Residencial</v>
      </c>
      <c r="G173" s="143" t="str">
        <f t="shared" si="20"/>
        <v>Telefonía fija + Internet fijo</v>
      </c>
      <c r="H173" s="16" t="s">
        <v>223</v>
      </c>
      <c r="I173" s="163"/>
      <c r="J173" s="163"/>
      <c r="K173" s="163"/>
      <c r="L173" s="163"/>
      <c r="M173" s="163"/>
      <c r="N173" s="159">
        <f t="shared" si="17"/>
        <v>6.3585368979021022E-3</v>
      </c>
      <c r="O173" s="159">
        <f t="shared" si="17"/>
        <v>4.7885702475005103E-3</v>
      </c>
      <c r="Q173" s="96" t="s">
        <v>320</v>
      </c>
      <c r="S173" s="96"/>
    </row>
    <row r="174" spans="3:19" ht="12">
      <c r="C174" s="142" t="str">
        <f t="shared" si="16"/>
        <v>Paquete 389Residencial</v>
      </c>
      <c r="D174" s="91">
        <f t="shared" si="18"/>
        <v>6</v>
      </c>
      <c r="E174" s="143" t="str">
        <v>Paquete 389</v>
      </c>
      <c r="F174" s="143" t="str">
        <f t="shared" si="19"/>
        <v>Residencial</v>
      </c>
      <c r="G174" s="143" t="str">
        <f t="shared" si="20"/>
        <v>Telefonía fija + Internet fijo</v>
      </c>
      <c r="H174" s="16" t="s">
        <v>223</v>
      </c>
      <c r="I174" s="163"/>
      <c r="J174" s="163"/>
      <c r="K174" s="163"/>
      <c r="L174" s="163"/>
      <c r="M174" s="163"/>
      <c r="N174" s="159">
        <f t="shared" si="17"/>
        <v>0.5032378999974082</v>
      </c>
      <c r="O174" s="159">
        <f t="shared" si="17"/>
        <v>0.55577166229600761</v>
      </c>
      <c r="Q174" s="96" t="s">
        <v>320</v>
      </c>
      <c r="S174" s="96"/>
    </row>
    <row r="175" spans="3:19" ht="12">
      <c r="C175" s="142" t="str">
        <f t="shared" si="16"/>
        <v>Paquete 435Residencial</v>
      </c>
      <c r="D175" s="91">
        <f t="shared" si="18"/>
        <v>7</v>
      </c>
      <c r="E175" s="143" t="str">
        <v>Paquete 435</v>
      </c>
      <c r="F175" s="143" t="str">
        <f t="shared" si="19"/>
        <v>Residencial</v>
      </c>
      <c r="G175" s="143" t="str">
        <f t="shared" si="20"/>
        <v>Telefonía fija + Internet fijo</v>
      </c>
      <c r="H175" s="16" t="s">
        <v>223</v>
      </c>
      <c r="I175" s="163"/>
      <c r="J175" s="163"/>
      <c r="K175" s="163"/>
      <c r="L175" s="163"/>
      <c r="M175" s="163"/>
      <c r="N175" s="159">
        <f t="shared" si="17"/>
        <v>2.9160485790796567E-2</v>
      </c>
      <c r="O175" s="159">
        <f t="shared" si="17"/>
        <v>2.4046396693526477E-2</v>
      </c>
      <c r="Q175" s="96" t="s">
        <v>320</v>
      </c>
      <c r="S175" s="96"/>
    </row>
    <row r="176" spans="3:19" ht="12">
      <c r="C176" s="142" t="str">
        <f t="shared" si="16"/>
        <v>Paquete 499Residencial</v>
      </c>
      <c r="D176" s="91">
        <f t="shared" si="18"/>
        <v>8</v>
      </c>
      <c r="E176" s="143" t="str">
        <v>Paquete 499</v>
      </c>
      <c r="F176" s="143" t="str">
        <f t="shared" si="19"/>
        <v>Residencial</v>
      </c>
      <c r="G176" s="143" t="str">
        <f t="shared" si="20"/>
        <v>Telefonía fija + Internet fijo</v>
      </c>
      <c r="H176" s="16" t="s">
        <v>223</v>
      </c>
      <c r="I176" s="163"/>
      <c r="J176" s="163"/>
      <c r="K176" s="163"/>
      <c r="L176" s="163"/>
      <c r="M176" s="163"/>
      <c r="N176" s="159">
        <f t="shared" si="17"/>
        <v>2.6987072198950204E-2</v>
      </c>
      <c r="O176" s="159">
        <f t="shared" si="17"/>
        <v>2.7528148572355009E-2</v>
      </c>
      <c r="Q176" s="96" t="s">
        <v>320</v>
      </c>
      <c r="S176" s="96"/>
    </row>
    <row r="177" spans="3:19" ht="12">
      <c r="C177" s="142" t="str">
        <f t="shared" si="16"/>
        <v>Paquete 599Residencial</v>
      </c>
      <c r="D177" s="91">
        <f t="shared" si="18"/>
        <v>9</v>
      </c>
      <c r="E177" s="143" t="str">
        <v>Paquete 599</v>
      </c>
      <c r="F177" s="143" t="str">
        <f t="shared" si="19"/>
        <v>Residencial</v>
      </c>
      <c r="G177" s="143" t="str">
        <f t="shared" si="20"/>
        <v>Telefonía fija + Internet fijo</v>
      </c>
      <c r="H177" s="16" t="s">
        <v>223</v>
      </c>
      <c r="I177" s="163"/>
      <c r="J177" s="163"/>
      <c r="K177" s="163"/>
      <c r="L177" s="163"/>
      <c r="M177" s="163"/>
      <c r="N177" s="159">
        <f t="shared" si="17"/>
        <v>3.5794429924505641E-2</v>
      </c>
      <c r="O177" s="159">
        <f t="shared" si="17"/>
        <v>4.1900277025821948E-2</v>
      </c>
      <c r="Q177" s="96" t="s">
        <v>320</v>
      </c>
      <c r="S177" s="96"/>
    </row>
    <row r="178" spans="3:19" ht="12">
      <c r="C178" s="142" t="str">
        <f t="shared" si="16"/>
        <v>Paquete 649Residencial</v>
      </c>
      <c r="D178" s="91">
        <f t="shared" si="18"/>
        <v>10</v>
      </c>
      <c r="E178" s="143" t="str">
        <v>Paquete 649</v>
      </c>
      <c r="F178" s="143" t="str">
        <f t="shared" si="19"/>
        <v>Residencial</v>
      </c>
      <c r="G178" s="143" t="str">
        <f t="shared" si="20"/>
        <v>Telefonía fija + Internet fijo</v>
      </c>
      <c r="H178" s="16" t="s">
        <v>223</v>
      </c>
      <c r="I178" s="163"/>
      <c r="J178" s="163"/>
      <c r="K178" s="163"/>
      <c r="L178" s="163"/>
      <c r="M178" s="163"/>
      <c r="N178" s="159">
        <f t="shared" si="17"/>
        <v>2.6440229401523817E-2</v>
      </c>
      <c r="O178" s="159">
        <f t="shared" si="17"/>
        <v>1.9561470382747373E-2</v>
      </c>
      <c r="Q178" s="96" t="s">
        <v>320</v>
      </c>
      <c r="S178" s="96"/>
    </row>
    <row r="179" spans="3:19" ht="12">
      <c r="C179" s="142" t="str">
        <f t="shared" si="16"/>
        <v>Paquete Infinitum 999Residencial</v>
      </c>
      <c r="D179" s="91">
        <f t="shared" si="18"/>
        <v>11</v>
      </c>
      <c r="E179" s="143" t="str">
        <v>Paquete Infinitum 999</v>
      </c>
      <c r="F179" s="143" t="str">
        <f t="shared" si="19"/>
        <v>Residencial</v>
      </c>
      <c r="G179" s="143" t="str">
        <f t="shared" si="20"/>
        <v>Telefonía fija + Internet fijo</v>
      </c>
      <c r="H179" s="16" t="s">
        <v>223</v>
      </c>
      <c r="I179" s="163"/>
      <c r="J179" s="163"/>
      <c r="K179" s="163"/>
      <c r="L179" s="163"/>
      <c r="M179" s="163"/>
      <c r="N179" s="159">
        <f t="shared" si="17"/>
        <v>8.0798604907970761E-3</v>
      </c>
      <c r="O179" s="159">
        <f t="shared" si="17"/>
        <v>6.4475006386923274E-3</v>
      </c>
      <c r="Q179" s="96" t="s">
        <v>320</v>
      </c>
      <c r="S179" s="96"/>
    </row>
    <row r="180" spans="3:19" ht="12">
      <c r="C180" s="142" t="str">
        <f t="shared" si="16"/>
        <v>Paquete 1399Residencial</v>
      </c>
      <c r="D180" s="91">
        <f t="shared" si="18"/>
        <v>12</v>
      </c>
      <c r="E180" s="143" t="str">
        <v>Paquete 1399</v>
      </c>
      <c r="F180" s="143" t="str">
        <f t="shared" si="19"/>
        <v>Residencial</v>
      </c>
      <c r="G180" s="143" t="str">
        <f t="shared" si="20"/>
        <v>Telefonía fija + Internet fijo</v>
      </c>
      <c r="H180" s="16" t="s">
        <v>223</v>
      </c>
      <c r="I180" s="163"/>
      <c r="J180" s="163"/>
      <c r="K180" s="163"/>
      <c r="L180" s="163"/>
      <c r="M180" s="163"/>
      <c r="N180" s="159">
        <f t="shared" si="17"/>
        <v>1.6154501066947624E-3</v>
      </c>
      <c r="O180" s="159">
        <f t="shared" si="17"/>
        <v>1.5273194230355984E-3</v>
      </c>
      <c r="Q180" s="96" t="s">
        <v>320</v>
      </c>
      <c r="S180" s="96"/>
    </row>
    <row r="181" spans="3:19" ht="12">
      <c r="C181" s="142" t="str">
        <f t="shared" si="16"/>
        <v>Paquete Conectes NegocioNo Residencial</v>
      </c>
      <c r="D181" s="91">
        <f t="shared" si="18"/>
        <v>13</v>
      </c>
      <c r="E181" s="143" t="str">
        <v>Paquete Conectes Negocio</v>
      </c>
      <c r="F181" s="143" t="str">
        <f t="shared" si="19"/>
        <v>No Residencial</v>
      </c>
      <c r="G181" s="143" t="str">
        <f t="shared" si="20"/>
        <v>Telefonía fija + Internet fijo</v>
      </c>
      <c r="H181" s="16" t="s">
        <v>223</v>
      </c>
      <c r="I181" s="163"/>
      <c r="J181" s="163"/>
      <c r="K181" s="163"/>
      <c r="L181" s="163"/>
      <c r="M181" s="163"/>
      <c r="N181" s="159">
        <f t="shared" si="17"/>
        <v>5.2328509567380076E-2</v>
      </c>
      <c r="O181" s="159">
        <f t="shared" si="17"/>
        <v>6.1114424722590828E-2</v>
      </c>
      <c r="Q181" s="96" t="s">
        <v>320</v>
      </c>
      <c r="S181" s="96"/>
    </row>
    <row r="182" spans="3:19" ht="12">
      <c r="C182" s="142" t="str">
        <f t="shared" si="16"/>
        <v>Paquete Mi NegocioNo Residencial</v>
      </c>
      <c r="D182" s="91">
        <f t="shared" si="18"/>
        <v>14</v>
      </c>
      <c r="E182" s="143" t="str">
        <v>Paquete Mi Negocio</v>
      </c>
      <c r="F182" s="143" t="str">
        <f t="shared" si="19"/>
        <v>No Residencial</v>
      </c>
      <c r="G182" s="143" t="str">
        <f t="shared" si="20"/>
        <v>Telefonía fija + Internet fijo</v>
      </c>
      <c r="H182" s="16" t="s">
        <v>223</v>
      </c>
      <c r="I182" s="163"/>
      <c r="J182" s="163"/>
      <c r="K182" s="163"/>
      <c r="L182" s="163"/>
      <c r="M182" s="163"/>
      <c r="N182" s="159">
        <f t="shared" si="17"/>
        <v>4.9234575375259208E-2</v>
      </c>
      <c r="O182" s="159">
        <f t="shared" si="17"/>
        <v>4.3578077402986672E-2</v>
      </c>
      <c r="Q182" s="96" t="s">
        <v>320</v>
      </c>
      <c r="S182" s="96"/>
    </row>
    <row r="183" spans="3:19" ht="12">
      <c r="C183" s="142" t="str">
        <f t="shared" si="16"/>
        <v>Paquete Negocio 649No Residencial</v>
      </c>
      <c r="D183" s="91">
        <f t="shared" si="18"/>
        <v>15</v>
      </c>
      <c r="E183" s="143" t="str">
        <v>Paquete Negocio 649</v>
      </c>
      <c r="F183" s="143" t="str">
        <f t="shared" si="19"/>
        <v>No Residencial</v>
      </c>
      <c r="G183" s="143" t="str">
        <f t="shared" si="20"/>
        <v>Telefonía fija + Internet fijo</v>
      </c>
      <c r="H183" s="16" t="s">
        <v>223</v>
      </c>
      <c r="I183" s="163"/>
      <c r="J183" s="163"/>
      <c r="K183" s="163"/>
      <c r="L183" s="163"/>
      <c r="M183" s="163"/>
      <c r="N183" s="159">
        <f t="shared" si="17"/>
        <v>2.4510903557605277E-4</v>
      </c>
      <c r="O183" s="159">
        <f t="shared" si="17"/>
        <v>9.1112338362587706E-4</v>
      </c>
      <c r="Q183" s="96" t="s">
        <v>320</v>
      </c>
      <c r="S183" s="96"/>
    </row>
    <row r="184" spans="3:19" ht="12">
      <c r="C184" s="142" t="str">
        <f t="shared" si="16"/>
        <v>Paquete SupernegocioNo Residencial</v>
      </c>
      <c r="D184" s="91">
        <f t="shared" si="18"/>
        <v>16</v>
      </c>
      <c r="E184" s="143" t="str">
        <v>Paquete Supernegocio</v>
      </c>
      <c r="F184" s="143" t="str">
        <f t="shared" si="19"/>
        <v>No Residencial</v>
      </c>
      <c r="G184" s="143" t="str">
        <f t="shared" si="20"/>
        <v>Telefonía fija + Internet fijo</v>
      </c>
      <c r="H184" s="16" t="s">
        <v>223</v>
      </c>
      <c r="I184" s="163"/>
      <c r="J184" s="163"/>
      <c r="K184" s="163"/>
      <c r="L184" s="163"/>
      <c r="M184" s="163"/>
      <c r="N184" s="159">
        <f t="shared" si="17"/>
        <v>2.7790825578110013E-2</v>
      </c>
      <c r="O184" s="159">
        <f t="shared" si="17"/>
        <v>2.1940716989757799E-2</v>
      </c>
      <c r="Q184" s="96" t="s">
        <v>320</v>
      </c>
      <c r="S184" s="96"/>
    </row>
    <row r="185" spans="3:19" ht="12">
      <c r="C185" s="142" t="str">
        <f t="shared" si="16"/>
        <v>Paquete Negocio 999No Residencial</v>
      </c>
      <c r="D185" s="91">
        <f t="shared" si="18"/>
        <v>17</v>
      </c>
      <c r="E185" s="143" t="str">
        <v>Paquete Negocio 999</v>
      </c>
      <c r="F185" s="143" t="str">
        <f t="shared" si="19"/>
        <v>No Residencial</v>
      </c>
      <c r="G185" s="143" t="str">
        <f t="shared" si="20"/>
        <v>Telefonía fija + Internet fijo</v>
      </c>
      <c r="H185" s="16" t="s">
        <v>223</v>
      </c>
      <c r="I185" s="163"/>
      <c r="J185" s="163"/>
      <c r="K185" s="163"/>
      <c r="L185" s="163"/>
      <c r="M185" s="163"/>
      <c r="N185" s="159">
        <f t="shared" si="17"/>
        <v>5.3333910518863322E-5</v>
      </c>
      <c r="O185" s="159">
        <f t="shared" si="17"/>
        <v>3.5498562444464897E-4</v>
      </c>
      <c r="Q185" s="96" t="s">
        <v>320</v>
      </c>
      <c r="S185" s="96"/>
    </row>
    <row r="186" spans="3:19" ht="12">
      <c r="C186" s="142" t="str">
        <f t="shared" si="16"/>
        <v>Paquete Telmex Negocio Ilimitado 1No Residencial</v>
      </c>
      <c r="D186" s="91">
        <f t="shared" si="18"/>
        <v>18</v>
      </c>
      <c r="E186" s="143" t="str">
        <v>Paquete Telmex Negocio Ilimitado 1</v>
      </c>
      <c r="F186" s="143" t="str">
        <f t="shared" si="19"/>
        <v>No Residencial</v>
      </c>
      <c r="G186" s="143" t="str">
        <f t="shared" si="20"/>
        <v>Telefonía fija + Internet fijo</v>
      </c>
      <c r="H186" s="16" t="s">
        <v>223</v>
      </c>
      <c r="I186" s="163"/>
      <c r="J186" s="163"/>
      <c r="K186" s="163"/>
      <c r="L186" s="163"/>
      <c r="M186" s="163"/>
      <c r="N186" s="159">
        <f t="shared" ref="N186:O188" si="21">IFERROR(N212/N$194,"0")</f>
        <v>5.7872966733234681E-6</v>
      </c>
      <c r="O186" s="159">
        <f t="shared" si="21"/>
        <v>8.9081659669056528E-6</v>
      </c>
      <c r="Q186" s="96" t="s">
        <v>320</v>
      </c>
      <c r="S186" s="96"/>
    </row>
    <row r="187" spans="3:19" ht="12">
      <c r="C187" s="142" t="str">
        <f t="shared" si="16"/>
        <v>Paquete Telmex Negocio Ilimitado 2No Residencial</v>
      </c>
      <c r="D187" s="91">
        <f t="shared" si="18"/>
        <v>19</v>
      </c>
      <c r="E187" s="143" t="str">
        <v>Paquete Telmex Negocio Ilimitado 2</v>
      </c>
      <c r="F187" s="143" t="str">
        <f t="shared" si="19"/>
        <v>No Residencial</v>
      </c>
      <c r="G187" s="143" t="str">
        <f t="shared" si="20"/>
        <v>Telefonía fija + Internet fijo</v>
      </c>
      <c r="H187" s="16" t="s">
        <v>223</v>
      </c>
      <c r="I187" s="163"/>
      <c r="J187" s="163"/>
      <c r="K187" s="163"/>
      <c r="L187" s="163"/>
      <c r="M187" s="163"/>
      <c r="N187" s="159">
        <f t="shared" si="21"/>
        <v>1.7021460803892551E-6</v>
      </c>
      <c r="O187" s="159">
        <f t="shared" si="21"/>
        <v>3.6398957714238156E-6</v>
      </c>
      <c r="Q187" s="96" t="s">
        <v>320</v>
      </c>
      <c r="S187" s="96"/>
    </row>
    <row r="188" spans="3:19" ht="12.75" thickBot="1">
      <c r="C188" s="142" t="str">
        <f t="shared" si="16"/>
        <v>Paquete Telmex Negocio Ilimitado 3No Residencial</v>
      </c>
      <c r="D188" s="91">
        <f t="shared" si="18"/>
        <v>20</v>
      </c>
      <c r="E188" s="143" t="str">
        <v>Paquete Telmex Negocio Ilimitado 3</v>
      </c>
      <c r="F188" s="143" t="str">
        <f t="shared" si="19"/>
        <v>No Residencial</v>
      </c>
      <c r="G188" s="143" t="str">
        <f t="shared" si="20"/>
        <v>Telefonía fija + Internet fijo</v>
      </c>
      <c r="H188" s="16" t="s">
        <v>223</v>
      </c>
      <c r="I188" s="163"/>
      <c r="J188" s="163"/>
      <c r="K188" s="163"/>
      <c r="L188" s="163"/>
      <c r="M188" s="163"/>
      <c r="N188" s="159">
        <f t="shared" si="21"/>
        <v>1.8156224857485389E-6</v>
      </c>
      <c r="O188" s="159">
        <f t="shared" si="21"/>
        <v>1.8199478857119078E-6</v>
      </c>
      <c r="Q188" s="96" t="s">
        <v>320</v>
      </c>
      <c r="S188" s="96"/>
    </row>
    <row r="189" spans="3:19" ht="12">
      <c r="E189" s="149"/>
      <c r="F189" s="50"/>
      <c r="G189" s="50"/>
      <c r="H189" s="50"/>
      <c r="I189" s="50"/>
      <c r="J189" s="50"/>
      <c r="K189" s="50"/>
      <c r="L189" s="50"/>
      <c r="M189" s="50"/>
      <c r="N189" s="150"/>
      <c r="O189" s="150" t="s">
        <v>363</v>
      </c>
      <c r="P189" s="50"/>
      <c r="Q189" s="50"/>
    </row>
    <row r="190" spans="3:19" ht="12"/>
    <row r="191" spans="3:19" ht="12">
      <c r="C191" s="96" t="s">
        <v>364</v>
      </c>
      <c r="D191" s="96"/>
    </row>
    <row r="192" spans="3:19" ht="12">
      <c r="C192" s="96"/>
      <c r="D192" s="96"/>
      <c r="I192" s="95">
        <v>7</v>
      </c>
      <c r="J192" s="91">
        <v>8</v>
      </c>
      <c r="K192" s="91">
        <v>9</v>
      </c>
      <c r="L192" s="91">
        <v>10</v>
      </c>
      <c r="M192" s="91">
        <v>11</v>
      </c>
      <c r="N192" s="164">
        <v>12</v>
      </c>
      <c r="O192" s="164">
        <v>13</v>
      </c>
    </row>
    <row r="193" spans="3:19" ht="12">
      <c r="E193" s="40" t="s">
        <v>317</v>
      </c>
      <c r="F193" s="40" t="s">
        <v>318</v>
      </c>
      <c r="G193" s="40" t="s">
        <v>319</v>
      </c>
      <c r="H193" s="40" t="s">
        <v>213</v>
      </c>
      <c r="I193" s="40">
        <f t="array" ref="I193:O193">TRANSPOSE(Years)</f>
        <v>2018</v>
      </c>
      <c r="J193" s="40">
        <v>2019</v>
      </c>
      <c r="K193" s="40">
        <v>2020</v>
      </c>
      <c r="L193" s="40">
        <v>2021</v>
      </c>
      <c r="M193" s="40">
        <v>2022</v>
      </c>
      <c r="N193" s="40">
        <v>2023</v>
      </c>
      <c r="O193" s="40">
        <v>2024</v>
      </c>
      <c r="P193" s="40"/>
      <c r="Q193" s="40" t="s">
        <v>215</v>
      </c>
    </row>
    <row r="194" spans="3:19" ht="12">
      <c r="I194" s="151">
        <f>SUM(I195:I214)</f>
        <v>0</v>
      </c>
      <c r="J194" s="151">
        <f>SUM(J195:J214)</f>
        <v>0</v>
      </c>
      <c r="K194" s="151">
        <f>SUM(K195:K214)</f>
        <v>0</v>
      </c>
      <c r="L194" s="151"/>
      <c r="M194" s="151">
        <f>SUM(M195:M214)</f>
        <v>0</v>
      </c>
      <c r="N194" s="151">
        <f>SUM(N195:N214)</f>
        <v>10115239.999999998</v>
      </c>
      <c r="O194" s="151">
        <f>SUM(O195:O214)</f>
        <v>10218136</v>
      </c>
    </row>
    <row r="195" spans="3:19" ht="12">
      <c r="C195" s="142" t="str">
        <f>E195&amp;F195</f>
        <v>Renta Mensual de la Línea ResidencialResidencial</v>
      </c>
      <c r="D195" s="95">
        <v>1</v>
      </c>
      <c r="E195" s="143" t="str">
        <f t="array" ref="E195:E214">vector.telephony.plans.names</f>
        <v>Renta Mensual de la Línea Residencial</v>
      </c>
      <c r="F195" s="162" t="s">
        <v>358</v>
      </c>
      <c r="G195" s="162" t="s">
        <v>334</v>
      </c>
      <c r="H195" s="16" t="s">
        <v>338</v>
      </c>
      <c r="I195" s="152"/>
      <c r="J195" s="152"/>
      <c r="K195" s="152"/>
      <c r="L195" s="152"/>
      <c r="M195" s="152"/>
      <c r="N195" s="165">
        <f>N161</f>
        <v>668213.99799552292</v>
      </c>
      <c r="O195" s="165">
        <f>O161</f>
        <v>502147.36677584972</v>
      </c>
      <c r="Q195" s="96" t="s">
        <v>320</v>
      </c>
      <c r="S195" s="96"/>
    </row>
    <row r="196" spans="3:19" ht="12">
      <c r="C196" s="142" t="str">
        <f t="shared" ref="C196:C214" si="22">E196&amp;F196</f>
        <v>Renta Mensual de la Línea ComercialNo Residencial</v>
      </c>
      <c r="D196" s="91">
        <f>1+D195</f>
        <v>2</v>
      </c>
      <c r="E196" s="143" t="str">
        <v>Renta Mensual de la Línea Comercial</v>
      </c>
      <c r="F196" s="162" t="s">
        <v>359</v>
      </c>
      <c r="G196" s="162" t="s">
        <v>334</v>
      </c>
      <c r="H196" s="16" t="s">
        <v>338</v>
      </c>
      <c r="I196" s="152"/>
      <c r="J196" s="152"/>
      <c r="K196" s="152"/>
      <c r="L196" s="152"/>
      <c r="M196" s="152"/>
      <c r="N196" s="165">
        <f>N162</f>
        <v>1471983.470283021</v>
      </c>
      <c r="O196" s="165">
        <f>O162</f>
        <v>1184287.0621613099</v>
      </c>
      <c r="Q196" s="96" t="s">
        <v>320</v>
      </c>
      <c r="S196" s="96"/>
    </row>
    <row r="197" spans="3:19" ht="12">
      <c r="C197" s="142" t="str">
        <f t="shared" si="22"/>
        <v>Paquete 249Residencial</v>
      </c>
      <c r="D197" s="91">
        <f t="shared" ref="D197:D214" si="23">1+D196</f>
        <v>3</v>
      </c>
      <c r="E197" s="143" t="str">
        <v>Paquete 249</v>
      </c>
      <c r="F197" s="143" t="str">
        <f t="shared" ref="F197:F214" si="24">VLOOKUP(E197,$E$62:$G$95,2,)</f>
        <v>Residencial</v>
      </c>
      <c r="G197" s="143" t="str">
        <f t="shared" ref="G197:G214" si="25">VLOOKUP(E197,$E$62:$G$95,3,)</f>
        <v>Telefonía fija + Internet fijo</v>
      </c>
      <c r="H197" s="16" t="s">
        <v>338</v>
      </c>
      <c r="I197" s="152"/>
      <c r="J197" s="152"/>
      <c r="K197" s="152"/>
      <c r="L197" s="152"/>
      <c r="M197" s="152"/>
      <c r="N197" s="155">
        <f t="shared" ref="N197:O214" si="26">IFERROR(VLOOKUP($C197,AEP.broadband.subs.by.plan,N$192,FALSE),0)</f>
        <v>128860.08255180705</v>
      </c>
      <c r="O197" s="155">
        <f t="shared" si="26"/>
        <v>204939.02717152188</v>
      </c>
      <c r="Q197" s="96" t="s">
        <v>320</v>
      </c>
      <c r="S197" s="96"/>
    </row>
    <row r="198" spans="3:19" ht="12">
      <c r="C198" s="142" t="str">
        <f t="shared" si="22"/>
        <v>Paquete 289Residencial</v>
      </c>
      <c r="D198" s="91">
        <f t="shared" si="23"/>
        <v>4</v>
      </c>
      <c r="E198" s="143" t="str">
        <v>Paquete 289</v>
      </c>
      <c r="F198" s="143" t="str">
        <f t="shared" si="24"/>
        <v>Residencial</v>
      </c>
      <c r="G198" s="143" t="str">
        <f t="shared" si="25"/>
        <v>Telefonía fija + Internet fijo</v>
      </c>
      <c r="H198" s="16" t="s">
        <v>338</v>
      </c>
      <c r="I198" s="152"/>
      <c r="J198" s="152"/>
      <c r="K198" s="152"/>
      <c r="L198" s="152"/>
      <c r="M198" s="152"/>
      <c r="N198" s="155">
        <f t="shared" si="26"/>
        <v>84398.458529250667</v>
      </c>
      <c r="O198" s="155">
        <f t="shared" si="26"/>
        <v>55334.300770548121</v>
      </c>
      <c r="Q198" s="96" t="s">
        <v>320</v>
      </c>
      <c r="S198" s="96"/>
    </row>
    <row r="199" spans="3:19" ht="12">
      <c r="C199" s="142" t="str">
        <f t="shared" si="22"/>
        <v>Paquete 333Residencial</v>
      </c>
      <c r="D199" s="91">
        <f t="shared" si="23"/>
        <v>5</v>
      </c>
      <c r="E199" s="143" t="str">
        <v>Paquete 333</v>
      </c>
      <c r="F199" s="143" t="str">
        <f t="shared" si="24"/>
        <v>Residencial</v>
      </c>
      <c r="G199" s="143" t="str">
        <f t="shared" si="25"/>
        <v>Telefonía fija + Internet fijo</v>
      </c>
      <c r="H199" s="16" t="s">
        <v>338</v>
      </c>
      <c r="I199" s="152"/>
      <c r="J199" s="152"/>
      <c r="K199" s="152"/>
      <c r="L199" s="152"/>
      <c r="M199" s="152"/>
      <c r="N199" s="155">
        <f t="shared" si="26"/>
        <v>64318.126771135248</v>
      </c>
      <c r="O199" s="155">
        <f t="shared" si="26"/>
        <v>48930.262034513878</v>
      </c>
      <c r="Q199" s="96" t="s">
        <v>320</v>
      </c>
      <c r="S199" s="96"/>
    </row>
    <row r="200" spans="3:19" ht="12">
      <c r="C200" s="142" t="str">
        <f t="shared" si="22"/>
        <v>Paquete 389Residencial</v>
      </c>
      <c r="D200" s="91">
        <f t="shared" si="23"/>
        <v>6</v>
      </c>
      <c r="E200" s="143" t="str">
        <v>Paquete 389</v>
      </c>
      <c r="F200" s="143" t="str">
        <f t="shared" si="24"/>
        <v>Residencial</v>
      </c>
      <c r="G200" s="143" t="str">
        <f t="shared" si="25"/>
        <v>Telefonía fija + Internet fijo</v>
      </c>
      <c r="H200" s="16" t="s">
        <v>338</v>
      </c>
      <c r="I200" s="152"/>
      <c r="J200" s="152"/>
      <c r="K200" s="152"/>
      <c r="L200" s="152"/>
      <c r="M200" s="152"/>
      <c r="N200" s="155">
        <f t="shared" si="26"/>
        <v>5090372.1355697829</v>
      </c>
      <c r="O200" s="155">
        <f t="shared" si="26"/>
        <v>5678950.4302866785</v>
      </c>
      <c r="Q200" s="96" t="s">
        <v>320</v>
      </c>
      <c r="S200" s="96"/>
    </row>
    <row r="201" spans="3:19" ht="12">
      <c r="C201" s="142" t="str">
        <f t="shared" si="22"/>
        <v>Paquete 435Residencial</v>
      </c>
      <c r="D201" s="91">
        <f t="shared" si="23"/>
        <v>7</v>
      </c>
      <c r="E201" s="143" t="str">
        <v>Paquete 435</v>
      </c>
      <c r="F201" s="143" t="str">
        <f t="shared" si="24"/>
        <v>Residencial</v>
      </c>
      <c r="G201" s="143" t="str">
        <f t="shared" si="25"/>
        <v>Telefonía fija + Internet fijo</v>
      </c>
      <c r="H201" s="16" t="s">
        <v>338</v>
      </c>
      <c r="I201" s="152"/>
      <c r="J201" s="152"/>
      <c r="K201" s="152"/>
      <c r="L201" s="152"/>
      <c r="M201" s="152"/>
      <c r="N201" s="155">
        <f t="shared" si="26"/>
        <v>294965.31229049701</v>
      </c>
      <c r="O201" s="155">
        <f t="shared" si="26"/>
        <v>245709.35172440385</v>
      </c>
      <c r="Q201" s="96" t="s">
        <v>320</v>
      </c>
      <c r="S201" s="96"/>
    </row>
    <row r="202" spans="3:19" ht="12">
      <c r="C202" s="142" t="str">
        <f t="shared" si="22"/>
        <v>Paquete 499Residencial</v>
      </c>
      <c r="D202" s="91">
        <f t="shared" si="23"/>
        <v>8</v>
      </c>
      <c r="E202" s="143" t="str">
        <v>Paquete 499</v>
      </c>
      <c r="F202" s="143" t="str">
        <f t="shared" si="24"/>
        <v>Residencial</v>
      </c>
      <c r="G202" s="143" t="str">
        <f t="shared" si="25"/>
        <v>Telefonía fija + Internet fijo</v>
      </c>
      <c r="H202" s="16" t="s">
        <v>338</v>
      </c>
      <c r="I202" s="152"/>
      <c r="J202" s="152"/>
      <c r="K202" s="152"/>
      <c r="L202" s="152"/>
      <c r="M202" s="152"/>
      <c r="N202" s="155">
        <f t="shared" si="26"/>
        <v>272980.71218970901</v>
      </c>
      <c r="O202" s="155">
        <f t="shared" si="26"/>
        <v>281286.36594052933</v>
      </c>
      <c r="Q202" s="96" t="s">
        <v>320</v>
      </c>
      <c r="S202" s="96"/>
    </row>
    <row r="203" spans="3:19" ht="12">
      <c r="C203" s="142" t="str">
        <f t="shared" si="22"/>
        <v>Paquete 599Residencial</v>
      </c>
      <c r="D203" s="91">
        <f t="shared" si="23"/>
        <v>9</v>
      </c>
      <c r="E203" s="143" t="str">
        <v>Paquete 599</v>
      </c>
      <c r="F203" s="143" t="str">
        <f t="shared" si="24"/>
        <v>Residencial</v>
      </c>
      <c r="G203" s="143" t="str">
        <f t="shared" si="25"/>
        <v>Telefonía fija + Internet fijo</v>
      </c>
      <c r="H203" s="16" t="s">
        <v>338</v>
      </c>
      <c r="I203" s="152"/>
      <c r="J203" s="152"/>
      <c r="K203" s="152"/>
      <c r="L203" s="152"/>
      <c r="M203" s="152"/>
      <c r="N203" s="155">
        <f t="shared" si="26"/>
        <v>362069.2493495564</v>
      </c>
      <c r="O203" s="155">
        <f t="shared" si="26"/>
        <v>428142.72908752417</v>
      </c>
      <c r="Q203" s="96" t="s">
        <v>320</v>
      </c>
      <c r="S203" s="96"/>
    </row>
    <row r="204" spans="3:19" ht="12">
      <c r="C204" s="142" t="str">
        <f t="shared" si="22"/>
        <v>Paquete 649Residencial</v>
      </c>
      <c r="D204" s="91">
        <f t="shared" si="23"/>
        <v>10</v>
      </c>
      <c r="E204" s="143" t="str">
        <v>Paquete 649</v>
      </c>
      <c r="F204" s="143" t="str">
        <f t="shared" si="24"/>
        <v>Residencial</v>
      </c>
      <c r="G204" s="143" t="str">
        <f t="shared" si="25"/>
        <v>Telefonía fija + Internet fijo</v>
      </c>
      <c r="H204" s="16" t="s">
        <v>338</v>
      </c>
      <c r="I204" s="152"/>
      <c r="J204" s="152"/>
      <c r="K204" s="152"/>
      <c r="L204" s="152"/>
      <c r="M204" s="152"/>
      <c r="N204" s="155">
        <f t="shared" si="26"/>
        <v>267449.26605146972</v>
      </c>
      <c r="O204" s="155">
        <f t="shared" si="26"/>
        <v>199881.76473088469</v>
      </c>
      <c r="Q204" s="96" t="s">
        <v>320</v>
      </c>
      <c r="S204" s="96"/>
    </row>
    <row r="205" spans="3:19" ht="12">
      <c r="C205" s="142" t="str">
        <f t="shared" si="22"/>
        <v>Paquete Infinitum 999Residencial</v>
      </c>
      <c r="D205" s="91">
        <f t="shared" si="23"/>
        <v>11</v>
      </c>
      <c r="E205" s="143" t="str">
        <v>Paquete Infinitum 999</v>
      </c>
      <c r="F205" s="143" t="str">
        <f t="shared" si="24"/>
        <v>Residencial</v>
      </c>
      <c r="G205" s="143" t="str">
        <f t="shared" si="25"/>
        <v>Telefonía fija + Internet fijo</v>
      </c>
      <c r="H205" s="16" t="s">
        <v>338</v>
      </c>
      <c r="I205" s="152"/>
      <c r="J205" s="152"/>
      <c r="K205" s="152"/>
      <c r="L205" s="152"/>
      <c r="M205" s="152"/>
      <c r="N205" s="155">
        <f t="shared" si="26"/>
        <v>81729.7280309302</v>
      </c>
      <c r="O205" s="155">
        <f t="shared" si="26"/>
        <v>65881.438386245063</v>
      </c>
      <c r="Q205" s="96" t="s">
        <v>320</v>
      </c>
      <c r="S205" s="96"/>
    </row>
    <row r="206" spans="3:19" ht="12">
      <c r="C206" s="142" t="str">
        <f t="shared" si="22"/>
        <v>Paquete 1399Residencial</v>
      </c>
      <c r="D206" s="91">
        <f t="shared" si="23"/>
        <v>12</v>
      </c>
      <c r="E206" s="143" t="str">
        <v>Paquete 1399</v>
      </c>
      <c r="F206" s="143" t="str">
        <f t="shared" si="24"/>
        <v>Residencial</v>
      </c>
      <c r="G206" s="143" t="str">
        <f t="shared" si="25"/>
        <v>Telefonía fija + Internet fijo</v>
      </c>
      <c r="H206" s="16" t="s">
        <v>338</v>
      </c>
      <c r="I206" s="152"/>
      <c r="J206" s="152"/>
      <c r="K206" s="152"/>
      <c r="L206" s="152"/>
      <c r="M206" s="152"/>
      <c r="N206" s="155">
        <f t="shared" si="26"/>
        <v>16340.665537243127</v>
      </c>
      <c r="O206" s="155">
        <f t="shared" si="26"/>
        <v>15606.357580019278</v>
      </c>
      <c r="Q206" s="96" t="s">
        <v>320</v>
      </c>
      <c r="S206" s="96"/>
    </row>
    <row r="207" spans="3:19" ht="12">
      <c r="C207" s="142" t="str">
        <f t="shared" si="22"/>
        <v>Paquete Conectes NegocioNo Residencial</v>
      </c>
      <c r="D207" s="91">
        <f t="shared" si="23"/>
        <v>13</v>
      </c>
      <c r="E207" s="143" t="str">
        <v>Paquete Conectes Negocio</v>
      </c>
      <c r="F207" s="143" t="str">
        <f t="shared" si="24"/>
        <v>No Residencial</v>
      </c>
      <c r="G207" s="143" t="str">
        <f t="shared" si="25"/>
        <v>Telefonía fija + Internet fijo</v>
      </c>
      <c r="H207" s="16" t="s">
        <v>338</v>
      </c>
      <c r="I207" s="152"/>
      <c r="J207" s="152"/>
      <c r="K207" s="152"/>
      <c r="L207" s="152"/>
      <c r="M207" s="152"/>
      <c r="N207" s="155">
        <f t="shared" si="26"/>
        <v>529315.43311634555</v>
      </c>
      <c r="O207" s="155">
        <f t="shared" si="26"/>
        <v>624475.50337719533</v>
      </c>
      <c r="Q207" s="96" t="s">
        <v>320</v>
      </c>
      <c r="S207" s="96"/>
    </row>
    <row r="208" spans="3:19" ht="12">
      <c r="C208" s="142" t="str">
        <f t="shared" si="22"/>
        <v>Paquete Mi NegocioNo Residencial</v>
      </c>
      <c r="D208" s="91">
        <f t="shared" si="23"/>
        <v>14</v>
      </c>
      <c r="E208" s="143" t="str">
        <v>Paquete Mi Negocio</v>
      </c>
      <c r="F208" s="143" t="str">
        <f t="shared" si="24"/>
        <v>No Residencial</v>
      </c>
      <c r="G208" s="143" t="str">
        <f t="shared" si="25"/>
        <v>Telefonía fija + Internet fijo</v>
      </c>
      <c r="H208" s="16" t="s">
        <v>338</v>
      </c>
      <c r="I208" s="152"/>
      <c r="J208" s="152"/>
      <c r="K208" s="152"/>
      <c r="L208" s="152"/>
      <c r="M208" s="152"/>
      <c r="N208" s="155">
        <f t="shared" si="26"/>
        <v>498019.54621883685</v>
      </c>
      <c r="O208" s="155">
        <f t="shared" si="26"/>
        <v>445286.72152224462</v>
      </c>
      <c r="Q208" s="96" t="s">
        <v>320</v>
      </c>
      <c r="S208" s="96"/>
    </row>
    <row r="209" spans="1:19" ht="12">
      <c r="C209" s="142" t="str">
        <f t="shared" si="22"/>
        <v>Paquete Negocio 649No Residencial</v>
      </c>
      <c r="D209" s="91">
        <f t="shared" si="23"/>
        <v>15</v>
      </c>
      <c r="E209" s="143" t="str">
        <v>Paquete Negocio 649</v>
      </c>
      <c r="F209" s="143" t="str">
        <f t="shared" si="24"/>
        <v>No Residencial</v>
      </c>
      <c r="G209" s="143" t="str">
        <f t="shared" si="25"/>
        <v>Telefonía fija + Internet fijo</v>
      </c>
      <c r="H209" s="16" t="s">
        <v>338</v>
      </c>
      <c r="I209" s="152"/>
      <c r="J209" s="152"/>
      <c r="K209" s="152"/>
      <c r="L209" s="152"/>
      <c r="M209" s="152"/>
      <c r="N209" s="155">
        <f t="shared" si="26"/>
        <v>2479.3367210203114</v>
      </c>
      <c r="O209" s="155">
        <f t="shared" si="26"/>
        <v>9309.9826466693848</v>
      </c>
      <c r="Q209" s="96" t="s">
        <v>320</v>
      </c>
      <c r="S209" s="96"/>
    </row>
    <row r="210" spans="1:19" ht="12">
      <c r="C210" s="142" t="str">
        <f t="shared" si="22"/>
        <v>Paquete SupernegocioNo Residencial</v>
      </c>
      <c r="D210" s="91">
        <f t="shared" si="23"/>
        <v>16</v>
      </c>
      <c r="E210" s="143" t="str">
        <v>Paquete Supernegocio</v>
      </c>
      <c r="F210" s="143" t="str">
        <f t="shared" si="24"/>
        <v>No Residencial</v>
      </c>
      <c r="G210" s="143" t="str">
        <f t="shared" si="25"/>
        <v>Telefonía fija + Internet fijo</v>
      </c>
      <c r="H210" s="16" t="s">
        <v>338</v>
      </c>
      <c r="I210" s="152"/>
      <c r="J210" s="152"/>
      <c r="K210" s="152"/>
      <c r="L210" s="152"/>
      <c r="M210" s="152"/>
      <c r="N210" s="155">
        <f t="shared" si="26"/>
        <v>281110.87052072148</v>
      </c>
      <c r="O210" s="155">
        <f t="shared" si="26"/>
        <v>224193.23013885578</v>
      </c>
      <c r="Q210" s="96" t="s">
        <v>320</v>
      </c>
      <c r="S210" s="96"/>
    </row>
    <row r="211" spans="1:19" ht="12">
      <c r="C211" s="142" t="str">
        <f t="shared" si="22"/>
        <v>Paquete Negocio 999No Residencial</v>
      </c>
      <c r="D211" s="91">
        <f t="shared" si="23"/>
        <v>17</v>
      </c>
      <c r="E211" s="143" t="str">
        <v>Paquete Negocio 999</v>
      </c>
      <c r="F211" s="143" t="str">
        <f t="shared" si="24"/>
        <v>No Residencial</v>
      </c>
      <c r="G211" s="143" t="str">
        <f t="shared" si="25"/>
        <v>Telefonía fija + Internet fijo</v>
      </c>
      <c r="H211" s="16" t="s">
        <v>338</v>
      </c>
      <c r="I211" s="152"/>
      <c r="J211" s="152"/>
      <c r="K211" s="152"/>
      <c r="L211" s="152"/>
      <c r="M211" s="152"/>
      <c r="N211" s="155">
        <f t="shared" si="26"/>
        <v>539.48530503682696</v>
      </c>
      <c r="O211" s="155">
        <f t="shared" si="26"/>
        <v>3627.2913886203478</v>
      </c>
      <c r="Q211" s="96" t="s">
        <v>320</v>
      </c>
      <c r="S211" s="96"/>
    </row>
    <row r="212" spans="1:19" ht="12">
      <c r="C212" s="142" t="str">
        <f t="shared" si="22"/>
        <v>Paquete Telmex Negocio Ilimitado 1No Residencial</v>
      </c>
      <c r="D212" s="91">
        <f t="shared" si="23"/>
        <v>18</v>
      </c>
      <c r="E212" s="143" t="str">
        <v>Paquete Telmex Negocio Ilimitado 1</v>
      </c>
      <c r="F212" s="143" t="str">
        <f t="shared" si="24"/>
        <v>No Residencial</v>
      </c>
      <c r="G212" s="143" t="str">
        <f t="shared" si="25"/>
        <v>Telefonía fija + Internet fijo</v>
      </c>
      <c r="H212" s="16" t="s">
        <v>338</v>
      </c>
      <c r="I212" s="152"/>
      <c r="J212" s="152"/>
      <c r="K212" s="152"/>
      <c r="L212" s="152"/>
      <c r="M212" s="152"/>
      <c r="N212" s="155">
        <f t="shared" si="26"/>
        <v>58.539894801868464</v>
      </c>
      <c r="O212" s="155">
        <f t="shared" si="26"/>
        <v>91.024851360413464</v>
      </c>
      <c r="Q212" s="96" t="s">
        <v>320</v>
      </c>
      <c r="S212" s="96"/>
    </row>
    <row r="213" spans="1:19" ht="12">
      <c r="C213" s="142" t="str">
        <f t="shared" si="22"/>
        <v>Paquete Telmex Negocio Ilimitado 2No Residencial</v>
      </c>
      <c r="D213" s="91">
        <f t="shared" si="23"/>
        <v>19</v>
      </c>
      <c r="E213" s="143" t="str">
        <v>Paquete Telmex Negocio Ilimitado 2</v>
      </c>
      <c r="F213" s="143" t="str">
        <f t="shared" si="24"/>
        <v>No Residencial</v>
      </c>
      <c r="G213" s="143" t="str">
        <f t="shared" si="25"/>
        <v>Telefonía fija + Internet fijo</v>
      </c>
      <c r="H213" s="16" t="s">
        <v>338</v>
      </c>
      <c r="I213" s="152"/>
      <c r="J213" s="152"/>
      <c r="K213" s="152"/>
      <c r="L213" s="152"/>
      <c r="M213" s="152"/>
      <c r="N213" s="155">
        <f t="shared" si="26"/>
        <v>17.217616118196606</v>
      </c>
      <c r="O213" s="155">
        <f t="shared" si="26"/>
        <v>37.192950018233461</v>
      </c>
      <c r="Q213" s="96" t="s">
        <v>320</v>
      </c>
      <c r="S213" s="96"/>
    </row>
    <row r="214" spans="1:19" ht="12.75" thickBot="1">
      <c r="C214" s="142" t="str">
        <f t="shared" si="22"/>
        <v>Paquete Telmex Negocio Ilimitado 3No Residencial</v>
      </c>
      <c r="D214" s="91">
        <f t="shared" si="23"/>
        <v>20</v>
      </c>
      <c r="E214" s="143" t="str">
        <v>Paquete Telmex Negocio Ilimitado 3</v>
      </c>
      <c r="F214" s="143" t="str">
        <f t="shared" si="24"/>
        <v>No Residencial</v>
      </c>
      <c r="G214" s="143" t="str">
        <f t="shared" si="25"/>
        <v>Telefonía fija + Internet fijo</v>
      </c>
      <c r="H214" s="16" t="s">
        <v>338</v>
      </c>
      <c r="I214" s="152"/>
      <c r="J214" s="152"/>
      <c r="K214" s="152"/>
      <c r="L214" s="152"/>
      <c r="M214" s="152"/>
      <c r="N214" s="155">
        <f t="shared" si="26"/>
        <v>18.365457192743047</v>
      </c>
      <c r="O214" s="155">
        <f t="shared" si="26"/>
        <v>18.59647500911673</v>
      </c>
      <c r="Q214" s="96" t="s">
        <v>320</v>
      </c>
      <c r="S214" s="96"/>
    </row>
    <row r="215" spans="1:19" ht="12">
      <c r="E215" s="149"/>
      <c r="F215" s="50"/>
      <c r="G215" s="50"/>
      <c r="H215" s="50"/>
      <c r="I215" s="50"/>
      <c r="J215" s="50"/>
      <c r="K215" s="50"/>
      <c r="L215" s="50"/>
      <c r="M215" s="50"/>
      <c r="N215" s="50"/>
      <c r="O215" s="150" t="s">
        <v>365</v>
      </c>
      <c r="P215" s="50"/>
      <c r="Q215" s="50"/>
    </row>
    <row r="216" spans="1:19" ht="12"/>
    <row r="217" spans="1:19" ht="12"/>
    <row r="218" spans="1:19" ht="12"/>
    <row r="219" spans="1:19" s="569" customFormat="1" ht="12">
      <c r="A219" s="567" t="s">
        <v>366</v>
      </c>
      <c r="B219" s="567" t="s">
        <v>300</v>
      </c>
      <c r="C219" s="568"/>
      <c r="D219" s="568"/>
      <c r="E219" s="568"/>
      <c r="F219" s="568"/>
      <c r="G219" s="568"/>
      <c r="H219" s="568"/>
      <c r="I219" s="568"/>
      <c r="J219" s="568"/>
      <c r="K219" s="568"/>
      <c r="L219" s="568"/>
      <c r="M219" s="568"/>
      <c r="N219" s="568"/>
      <c r="O219" s="568"/>
      <c r="P219" s="568"/>
      <c r="Q219" s="568"/>
      <c r="R219" s="568"/>
      <c r="S219" s="568"/>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9032C-2394-41B7-8B48-234D427846E1}">
  <dimension ref="A1:AL406"/>
  <sheetViews>
    <sheetView showGridLines="0" zoomScaleNormal="100" workbookViewId="0">
      <selection sqref="A1:XFD1048576"/>
    </sheetView>
  </sheetViews>
  <sheetFormatPr baseColWidth="10" defaultRowHeight="11.45" customHeight="1"/>
  <cols>
    <col min="1" max="1" width="10.5703125" customWidth="1"/>
    <col min="2" max="2" width="12.140625" bestFit="1" customWidth="1"/>
    <col min="3" max="3" width="4.140625" customWidth="1"/>
    <col min="4" max="4" width="50.85546875" customWidth="1"/>
    <col min="5" max="5" width="16.140625" customWidth="1"/>
    <col min="6" max="6" width="24.42578125" customWidth="1"/>
    <col min="7" max="7" width="24.5703125" customWidth="1"/>
    <col min="8" max="8" width="18.140625" customWidth="1"/>
    <col min="9" max="9" width="20.85546875" customWidth="1"/>
    <col min="10" max="10" width="21.140625" customWidth="1"/>
    <col min="11" max="11" width="20.140625" customWidth="1"/>
    <col min="12" max="12" width="18.140625" customWidth="1"/>
    <col min="13" max="13" width="18.85546875" customWidth="1"/>
    <col min="14" max="14" width="18.5703125" customWidth="1"/>
    <col min="15" max="15" width="19" customWidth="1"/>
    <col min="16" max="29" width="18.42578125" customWidth="1"/>
    <col min="30" max="30" width="18.5703125" customWidth="1"/>
  </cols>
  <sheetData>
    <row r="1" spans="1:38" ht="33.75" customHeight="1">
      <c r="A1" s="84"/>
      <c r="B1" s="84"/>
      <c r="C1" s="84" t="s">
        <v>367</v>
      </c>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row>
    <row r="2" spans="1:38" ht="12">
      <c r="A2" s="94">
        <v>1</v>
      </c>
      <c r="B2" s="94" t="s">
        <v>368</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row>
    <row r="3" spans="1:38" ht="12"/>
    <row r="4" spans="1:38" ht="12"/>
    <row r="5" spans="1:38" ht="36">
      <c r="C5" s="70" t="s">
        <v>158</v>
      </c>
      <c r="D5" s="69" t="s">
        <v>212</v>
      </c>
      <c r="E5" s="70"/>
      <c r="F5" s="40" t="s">
        <v>213</v>
      </c>
      <c r="G5" s="40" t="s">
        <v>369</v>
      </c>
      <c r="H5" s="40" t="s">
        <v>370</v>
      </c>
      <c r="I5" s="40" t="s">
        <v>371</v>
      </c>
      <c r="J5" s="40" t="s">
        <v>214</v>
      </c>
      <c r="K5" s="40" t="s">
        <v>372</v>
      </c>
      <c r="L5" s="40" t="s">
        <v>215</v>
      </c>
      <c r="M5" s="40"/>
    </row>
    <row r="6" spans="1:38" ht="12">
      <c r="C6" s="95">
        <v>1</v>
      </c>
      <c r="D6" t="s">
        <v>373</v>
      </c>
      <c r="F6" s="16" t="s">
        <v>374</v>
      </c>
      <c r="G6" s="166">
        <v>20</v>
      </c>
      <c r="H6" s="73"/>
      <c r="I6" s="73"/>
      <c r="K6" s="100" t="s">
        <v>375</v>
      </c>
      <c r="L6" t="s">
        <v>376</v>
      </c>
    </row>
    <row r="7" spans="1:38" ht="12">
      <c r="C7" s="91">
        <f>1+C6</f>
        <v>2</v>
      </c>
      <c r="D7" t="s">
        <v>377</v>
      </c>
      <c r="F7" s="16" t="s">
        <v>378</v>
      </c>
      <c r="G7" s="166">
        <v>25</v>
      </c>
      <c r="H7" s="167">
        <v>1</v>
      </c>
      <c r="I7" s="168">
        <f>G7/H7</f>
        <v>25</v>
      </c>
      <c r="J7" s="79" t="s">
        <v>379</v>
      </c>
      <c r="K7" s="100" t="s">
        <v>375</v>
      </c>
      <c r="L7" t="s">
        <v>380</v>
      </c>
    </row>
    <row r="8" spans="1:38" ht="12">
      <c r="C8" s="91">
        <f>1+C7</f>
        <v>3</v>
      </c>
      <c r="D8" t="s">
        <v>381</v>
      </c>
      <c r="F8" s="16" t="s">
        <v>378</v>
      </c>
      <c r="G8" s="166">
        <v>50</v>
      </c>
      <c r="H8" s="167">
        <v>3</v>
      </c>
      <c r="I8" s="168">
        <f>G8/H8</f>
        <v>16.666666666666668</v>
      </c>
      <c r="J8" s="79" t="s">
        <v>382</v>
      </c>
      <c r="K8" s="100" t="s">
        <v>375</v>
      </c>
      <c r="L8" t="s">
        <v>380</v>
      </c>
    </row>
    <row r="9" spans="1:38" ht="12">
      <c r="C9" s="91">
        <f>1+C8</f>
        <v>4</v>
      </c>
      <c r="D9" t="s">
        <v>383</v>
      </c>
      <c r="F9" s="16" t="s">
        <v>378</v>
      </c>
      <c r="G9" s="166">
        <v>65</v>
      </c>
      <c r="H9" s="167">
        <v>4</v>
      </c>
      <c r="I9" s="168">
        <f>G9/H9</f>
        <v>16.25</v>
      </c>
      <c r="J9" s="79" t="s">
        <v>384</v>
      </c>
      <c r="K9" s="100" t="s">
        <v>375</v>
      </c>
      <c r="L9" t="s">
        <v>380</v>
      </c>
    </row>
    <row r="10" spans="1:38" ht="12.75" thickBot="1">
      <c r="C10" s="91">
        <f>1+C9</f>
        <v>5</v>
      </c>
      <c r="D10" t="s">
        <v>385</v>
      </c>
      <c r="F10" s="16" t="s">
        <v>378</v>
      </c>
      <c r="G10" s="166">
        <v>80</v>
      </c>
      <c r="H10" s="167">
        <v>5</v>
      </c>
      <c r="I10" s="168">
        <f>G10/H10</f>
        <v>16</v>
      </c>
      <c r="J10" s="79" t="s">
        <v>386</v>
      </c>
      <c r="K10" s="100" t="s">
        <v>375</v>
      </c>
      <c r="L10" t="s">
        <v>380</v>
      </c>
    </row>
    <row r="11" spans="1:38" ht="12">
      <c r="D11" s="50"/>
      <c r="E11" s="50"/>
      <c r="F11" s="50"/>
      <c r="G11" s="50"/>
      <c r="H11" s="50"/>
      <c r="I11" s="50"/>
      <c r="J11" s="50"/>
      <c r="K11" s="50"/>
      <c r="L11" s="50"/>
      <c r="M11" s="50"/>
    </row>
    <row r="12" spans="1:38" ht="12">
      <c r="A12" s="94">
        <v>2</v>
      </c>
      <c r="B12" s="94" t="s">
        <v>387</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row>
    <row r="13" spans="1:38" ht="12"/>
    <row r="14" spans="1:38" ht="12">
      <c r="C14" s="125" t="s">
        <v>388</v>
      </c>
      <c r="H14" s="95">
        <v>7</v>
      </c>
      <c r="I14" s="91">
        <v>8</v>
      </c>
      <c r="J14" s="91">
        <v>0</v>
      </c>
    </row>
    <row r="15" spans="1:38" ht="12">
      <c r="H15" s="78" t="str">
        <f>"Distribución "&amp;Year.selected&amp;" de suscriptores por medio de transmisión"</f>
        <v>Distribución 2024 de suscriptores por medio de transmisión</v>
      </c>
      <c r="I15" s="78"/>
    </row>
    <row r="16" spans="1:38" ht="36">
      <c r="C16" s="69" t="s">
        <v>158</v>
      </c>
      <c r="D16" s="69" t="s">
        <v>389</v>
      </c>
      <c r="E16" s="40" t="s">
        <v>390</v>
      </c>
      <c r="F16" s="40" t="s">
        <v>318</v>
      </c>
      <c r="G16" s="40" t="s">
        <v>319</v>
      </c>
      <c r="H16" s="40" t="s">
        <v>391</v>
      </c>
      <c r="I16" s="40" t="s">
        <v>392</v>
      </c>
      <c r="J16" s="40" t="s">
        <v>64</v>
      </c>
      <c r="K16" s="40"/>
      <c r="L16" s="40"/>
      <c r="M16" s="40" t="s">
        <v>215</v>
      </c>
    </row>
    <row r="17" spans="3:11" ht="12">
      <c r="C17" s="95">
        <v>1</v>
      </c>
      <c r="D17" s="143" t="str">
        <f t="array" ref="D17:D50">vector.broadband.plans.names</f>
        <v>Paquete 249</v>
      </c>
      <c r="E17" s="169">
        <f t="shared" ref="E17:E50" si="0">H58</f>
        <v>15</v>
      </c>
      <c r="F17" s="170" t="str">
        <f>VLOOKUP($D17,'Planes y paquetes'!$C$654:$L$687,2,FALSE)</f>
        <v>Residencial</v>
      </c>
      <c r="G17" s="170" t="str">
        <f>VLOOKUP($D17,'Planes y paquetes'!$C$654:$L$687,3,FALSE)</f>
        <v>Telefonía fija + Internet fijo</v>
      </c>
      <c r="H17" s="171">
        <f>IFERROR(VLOOKUP($D17,$D$58:$K$91,H$14,FALSE)/SUM(VLOOKUP($D17,$D$58:$K91,H$14,FALSE),VLOOKUP($D17,$D$58:$K$91,I$14,FALSE)),"")</f>
        <v>0.21492188202836837</v>
      </c>
      <c r="I17" s="171">
        <f t="shared" ref="I17:I50" si="1">IFERROR(VLOOKUP($D17,$D$58:$K$91,I$14,FALSE)/SUM(VLOOKUP($D17,$D$58:$K$91,H$14,FALSE),VLOOKUP($D17,$D$58:$K$91,I$14,FALSE)),"")</f>
        <v>0.78507811797163163</v>
      </c>
      <c r="J17" s="171">
        <f>SUM(H17:I17)</f>
        <v>1</v>
      </c>
      <c r="K17" s="172"/>
    </row>
    <row r="18" spans="3:11" ht="12">
      <c r="C18" s="91">
        <f>1+C17</f>
        <v>2</v>
      </c>
      <c r="D18" s="143" t="str">
        <v>Paquete 289</v>
      </c>
      <c r="E18" s="169">
        <f t="shared" si="0"/>
        <v>15</v>
      </c>
      <c r="F18" s="170" t="str">
        <f>VLOOKUP($D18,'Planes y paquetes'!$C$654:$L$687,2,FALSE)</f>
        <v>Residencial</v>
      </c>
      <c r="G18" s="170" t="str">
        <f>VLOOKUP($D18,'Planes y paquetes'!$C$654:$L$687,3,FALSE)</f>
        <v>Telefonía fija + Internet fijo</v>
      </c>
      <c r="H18" s="171">
        <f>IFERROR(VLOOKUP($D18,$D$58:$K$91,H$14,FALSE)/SUM(VLOOKUP($D18,$D$58:$K91,H$14,FALSE),VLOOKUP($D18,$D$58:$K$91,I$14,FALSE)),"")</f>
        <v>0.25439406402659104</v>
      </c>
      <c r="I18" s="171">
        <f t="shared" si="1"/>
        <v>0.74560593597340896</v>
      </c>
      <c r="J18" s="171">
        <f>SUM(H18:I18)</f>
        <v>1</v>
      </c>
      <c r="K18" s="172"/>
    </row>
    <row r="19" spans="3:11" ht="12">
      <c r="C19" s="91">
        <f t="shared" ref="C19:C50" si="2">1+C18</f>
        <v>3</v>
      </c>
      <c r="D19" s="143" t="str">
        <v>Paquete 333</v>
      </c>
      <c r="E19" s="169">
        <f t="shared" si="0"/>
        <v>15</v>
      </c>
      <c r="F19" s="170" t="str">
        <f>VLOOKUP($D19,'Planes y paquetes'!$C$654:$L$687,2,FALSE)</f>
        <v>Residencial</v>
      </c>
      <c r="G19" s="170" t="str">
        <f>VLOOKUP($D19,'Planes y paquetes'!$C$654:$L$687,3,FALSE)</f>
        <v>Telefonía fija + Internet fijo</v>
      </c>
      <c r="H19" s="171">
        <f>IFERROR(VLOOKUP($D19,$D$58:$K$91,H$14,FALSE)/SUM(VLOOKUP($D19,$D$58:$K92,H$14,FALSE),VLOOKUP($D19,$D$58:$K$91,I$14,FALSE)),"")</f>
        <v>0.27326129763539786</v>
      </c>
      <c r="I19" s="171">
        <f t="shared" si="1"/>
        <v>0.72673870236460214</v>
      </c>
      <c r="J19" s="171">
        <f>SUM(H19:I19)</f>
        <v>1</v>
      </c>
      <c r="K19" s="172"/>
    </row>
    <row r="20" spans="3:11" ht="12">
      <c r="C20" s="91">
        <f t="shared" si="2"/>
        <v>4</v>
      </c>
      <c r="D20" s="143" t="str">
        <v>Paquete 389</v>
      </c>
      <c r="E20" s="169">
        <f t="shared" si="0"/>
        <v>60</v>
      </c>
      <c r="F20" s="170" t="str">
        <f>VLOOKUP($D20,'Planes y paquetes'!$C$654:$L$687,2,FALSE)</f>
        <v>Residencial</v>
      </c>
      <c r="G20" s="170" t="str">
        <f>VLOOKUP($D20,'Planes y paquetes'!$C$654:$L$687,3,FALSE)</f>
        <v>Telefonía fija + Internet fijo</v>
      </c>
      <c r="H20" s="171">
        <f>IFERROR(VLOOKUP($D20,$D$58:$K$91,H$14,FALSE)/SUM(VLOOKUP($D20,$D$58:$K93,H$14,FALSE),VLOOKUP($D20,$D$58:$K$91,I$14,FALSE)),"")</f>
        <v>0.19382640861056161</v>
      </c>
      <c r="I20" s="171">
        <f t="shared" si="1"/>
        <v>0.80617359138943845</v>
      </c>
      <c r="J20" s="171">
        <f>SUM(H20:I20)</f>
        <v>1</v>
      </c>
      <c r="K20" s="172"/>
    </row>
    <row r="21" spans="3:11" ht="12">
      <c r="C21" s="91">
        <f t="shared" si="2"/>
        <v>5</v>
      </c>
      <c r="D21" s="143" t="str">
        <v>Paquete 435</v>
      </c>
      <c r="E21" s="169">
        <f t="shared" si="0"/>
        <v>80</v>
      </c>
      <c r="F21" s="170" t="str">
        <f>VLOOKUP($D21,'Planes y paquetes'!$C$654:$L$687,2,FALSE)</f>
        <v>Residencial</v>
      </c>
      <c r="G21" s="170" t="str">
        <f>VLOOKUP($D21,'Planes y paquetes'!$C$654:$L$687,3,FALSE)</f>
        <v>Telefonía fija + Internet fijo</v>
      </c>
      <c r="H21" s="171">
        <f>IFERROR(VLOOKUP($D21,$D$58:$K$91,H$14,FALSE)/SUM(VLOOKUP($D21,$D$58:$K94,H$14,FALSE),VLOOKUP($D21,$D$58:$K$91,I$14,FALSE)),"")</f>
        <v>5.7519329721694309E-2</v>
      </c>
      <c r="I21" s="171">
        <f t="shared" si="1"/>
        <v>0.94248067027830573</v>
      </c>
      <c r="J21" s="171">
        <f t="shared" ref="J21:J50" si="3">SUM(H21:I21)</f>
        <v>1</v>
      </c>
      <c r="K21" s="172"/>
    </row>
    <row r="22" spans="3:11" ht="12">
      <c r="C22" s="91">
        <f t="shared" si="2"/>
        <v>6</v>
      </c>
      <c r="D22" s="143" t="str">
        <v>Paquete 499</v>
      </c>
      <c r="E22" s="169">
        <f t="shared" si="0"/>
        <v>100</v>
      </c>
      <c r="F22" s="170" t="str">
        <f>VLOOKUP($D22,'Planes y paquetes'!$C$654:$L$687,2,FALSE)</f>
        <v>Residencial</v>
      </c>
      <c r="G22" s="170" t="str">
        <f>VLOOKUP($D22,'Planes y paquetes'!$C$654:$L$687,3,FALSE)</f>
        <v>Telefonía fija + Internet fijo</v>
      </c>
      <c r="H22" s="171">
        <f>IFERROR(VLOOKUP($D22,$D$58:$K$91,H$14,FALSE)/SUM(VLOOKUP($D22,$D$58:$K95,H$14,FALSE),VLOOKUP($D22,$D$58:$K$91,I$14,FALSE)),"")</f>
        <v>2.7765573907939968E-2</v>
      </c>
      <c r="I22" s="171">
        <f t="shared" si="1"/>
        <v>0.97223442609206001</v>
      </c>
      <c r="J22" s="171">
        <f t="shared" si="3"/>
        <v>1</v>
      </c>
      <c r="K22" s="172"/>
    </row>
    <row r="23" spans="3:11" ht="12">
      <c r="C23" s="91">
        <f t="shared" si="2"/>
        <v>7</v>
      </c>
      <c r="D23" s="143" t="str">
        <v>Paquete 599</v>
      </c>
      <c r="E23" s="169">
        <f t="shared" si="0"/>
        <v>200</v>
      </c>
      <c r="F23" s="170" t="str">
        <f>VLOOKUP($D23,'Planes y paquetes'!$C$654:$L$687,2,FALSE)</f>
        <v>Residencial</v>
      </c>
      <c r="G23" s="170" t="str">
        <f>VLOOKUP($D23,'Planes y paquetes'!$C$654:$L$687,3,FALSE)</f>
        <v>Telefonía fija + Internet fijo</v>
      </c>
      <c r="H23" s="171">
        <f>IFERROR(VLOOKUP($D23,$D$58:$K$91,H$14,FALSE)/SUM(VLOOKUP($D23,$D$58:$K96,H$14,FALSE),VLOOKUP($D23,$D$58:$K$91,I$14,FALSE)),"")</f>
        <v>0.12205543852357066</v>
      </c>
      <c r="I23" s="171">
        <f t="shared" si="1"/>
        <v>0.8779445614764293</v>
      </c>
      <c r="J23" s="171">
        <f t="shared" si="3"/>
        <v>1</v>
      </c>
      <c r="K23" s="172"/>
    </row>
    <row r="24" spans="3:11" ht="12">
      <c r="C24" s="91">
        <f t="shared" si="2"/>
        <v>8</v>
      </c>
      <c r="D24" s="143" t="str">
        <v>Paquete 649</v>
      </c>
      <c r="E24" s="169">
        <f t="shared" si="0"/>
        <v>300</v>
      </c>
      <c r="F24" s="170" t="str">
        <f>VLOOKUP($D24,'Planes y paquetes'!$C$654:$L$687,2,FALSE)</f>
        <v>Residencial</v>
      </c>
      <c r="G24" s="170" t="str">
        <f>VLOOKUP($D24,'Planes y paquetes'!$C$654:$L$687,3,FALSE)</f>
        <v>Telefonía fija + Internet fijo</v>
      </c>
      <c r="H24" s="171">
        <f>IFERROR(VLOOKUP($D24,$D$58:$K$91,H$14,FALSE)/SUM(VLOOKUP($D24,$D$58:$K96,H$14,FALSE),VLOOKUP($D24,$D$58:$K$91,I$14,FALSE)),"")</f>
        <v>2.6946283170288792E-4</v>
      </c>
      <c r="I24" s="171">
        <f t="shared" si="1"/>
        <v>0.99973053716829707</v>
      </c>
      <c r="J24" s="171">
        <f t="shared" si="3"/>
        <v>1</v>
      </c>
      <c r="K24" s="172"/>
    </row>
    <row r="25" spans="3:11" ht="12">
      <c r="C25" s="91">
        <f t="shared" si="2"/>
        <v>9</v>
      </c>
      <c r="D25" s="143" t="str">
        <v>Paquete Infinitum 999</v>
      </c>
      <c r="E25" s="169">
        <f t="shared" si="0"/>
        <v>750</v>
      </c>
      <c r="F25" s="170" t="str">
        <f>VLOOKUP($D25,'Planes y paquetes'!$C$654:$L$687,2,FALSE)</f>
        <v>Residencial</v>
      </c>
      <c r="G25" s="170" t="str">
        <f>VLOOKUP($D25,'Planes y paquetes'!$C$654:$L$687,3,FALSE)</f>
        <v>Telefonía fija + Internet fijo</v>
      </c>
      <c r="H25" s="171">
        <f>IFERROR(VLOOKUP($D25,$D$58:$K$91,H$14,FALSE)/SUM(VLOOKUP($D25,$D$58:$K97,H$14,FALSE),VLOOKUP($D25,$D$58:$K$91,I$14,FALSE)),"")</f>
        <v>5.3448714685670655E-3</v>
      </c>
      <c r="I25" s="171">
        <f t="shared" si="1"/>
        <v>0.9946551285314329</v>
      </c>
      <c r="J25" s="171">
        <f t="shared" si="3"/>
        <v>1</v>
      </c>
      <c r="K25" s="172"/>
    </row>
    <row r="26" spans="3:11" ht="12">
      <c r="C26" s="91">
        <f t="shared" si="2"/>
        <v>10</v>
      </c>
      <c r="D26" s="143" t="str">
        <v>Paquete 1399</v>
      </c>
      <c r="E26" s="169">
        <f t="shared" si="0"/>
        <v>1000</v>
      </c>
      <c r="F26" s="170" t="str">
        <f>VLOOKUP($D26,'Planes y paquetes'!$C$654:$L$687,2,FALSE)</f>
        <v>Residencial</v>
      </c>
      <c r="G26" s="170" t="str">
        <f>VLOOKUP($D26,'Planes y paquetes'!$C$654:$L$687,3,FALSE)</f>
        <v>Telefonía fija + Internet fijo</v>
      </c>
      <c r="H26" s="171">
        <f>IFERROR(VLOOKUP($D26,$D$58:$K$91,H$14,FALSE)/SUM(VLOOKUP($D26,$D$58:$K97,H$14,FALSE),VLOOKUP($D26,$D$58:$K$91,I$14,FALSE)),"")</f>
        <v>4.336692549149182E-2</v>
      </c>
      <c r="I26" s="171">
        <f t="shared" si="1"/>
        <v>0.95663307450850821</v>
      </c>
      <c r="J26" s="171">
        <f t="shared" si="3"/>
        <v>1</v>
      </c>
      <c r="K26" s="172"/>
    </row>
    <row r="27" spans="3:11" ht="12">
      <c r="C27" s="91">
        <f t="shared" si="2"/>
        <v>11</v>
      </c>
      <c r="D27" s="143" t="str">
        <v>Infinitum 279</v>
      </c>
      <c r="E27" s="169">
        <f t="shared" si="0"/>
        <v>30</v>
      </c>
      <c r="F27" s="170" t="str">
        <f>VLOOKUP($D27,'Planes y paquetes'!$C$654:$L$687,2,FALSE)</f>
        <v>Residencial</v>
      </c>
      <c r="G27" s="170" t="str">
        <f>VLOOKUP($D27,'Planes y paquetes'!$C$654:$L$687,3,FALSE)</f>
        <v>Internet fijo</v>
      </c>
      <c r="H27" s="171">
        <f>IFERROR(VLOOKUP($D27,$D$58:$K$91,H$14,FALSE)/SUM(VLOOKUP($D27,$D$58:$K99,H$14,FALSE),VLOOKUP($D27,$D$58:$K$91,I$14,FALSE)),"")</f>
        <v>0.22266261668395318</v>
      </c>
      <c r="I27" s="171">
        <f t="shared" si="1"/>
        <v>0.77733738331604685</v>
      </c>
      <c r="J27" s="171">
        <f t="shared" si="3"/>
        <v>1</v>
      </c>
      <c r="K27" s="172"/>
    </row>
    <row r="28" spans="3:11" ht="12">
      <c r="C28" s="91">
        <f t="shared" si="2"/>
        <v>12</v>
      </c>
      <c r="D28" s="143" t="str">
        <v>Infinitum 299 R</v>
      </c>
      <c r="E28" s="169">
        <f t="shared" si="0"/>
        <v>40</v>
      </c>
      <c r="F28" s="170" t="str">
        <f>VLOOKUP($D28,'Planes y paquetes'!$C$654:$L$687,2,FALSE)</f>
        <v>Residencial</v>
      </c>
      <c r="G28" s="170" t="str">
        <f>VLOOKUP($D28,'Planes y paquetes'!$C$654:$L$687,3,FALSE)</f>
        <v>Internet fijo</v>
      </c>
      <c r="H28" s="171">
        <f>IFERROR(VLOOKUP($D28,$D$58:$K$91,H$14,FALSE)/SUM(VLOOKUP($D28,$D$58:$K100,H$14,FALSE),VLOOKUP($D28,$D$58:$K$91,I$14,FALSE)),"")</f>
        <v>0.18831168831168832</v>
      </c>
      <c r="I28" s="171">
        <f t="shared" si="1"/>
        <v>0.81168831168831168</v>
      </c>
      <c r="J28" s="171">
        <f t="shared" si="3"/>
        <v>1</v>
      </c>
      <c r="K28" s="172"/>
    </row>
    <row r="29" spans="3:11" ht="12">
      <c r="C29" s="91">
        <f t="shared" si="2"/>
        <v>13</v>
      </c>
      <c r="D29" s="143" t="str">
        <v>Infinitum 349</v>
      </c>
      <c r="E29" s="169">
        <f t="shared" si="0"/>
        <v>60</v>
      </c>
      <c r="F29" s="170" t="str">
        <f>VLOOKUP($D29,'Planes y paquetes'!$C$654:$L$687,2,FALSE)</f>
        <v>Residencial</v>
      </c>
      <c r="G29" s="170" t="str">
        <f>VLOOKUP($D29,'Planes y paquetes'!$C$654:$L$687,3,FALSE)</f>
        <v>Internet fijo</v>
      </c>
      <c r="H29" s="171">
        <f>IFERROR(VLOOKUP($D29,$D$58:$K$91,H$14,FALSE)/SUM(VLOOKUP($D29,$D$58:$K101,H$14,FALSE),VLOOKUP($D29,$D$58:$K$91,I$14,FALSE)),"")</f>
        <v>0.15826483498640673</v>
      </c>
      <c r="I29" s="171">
        <f t="shared" si="1"/>
        <v>0.84173516501359325</v>
      </c>
      <c r="J29" s="171">
        <f t="shared" si="3"/>
        <v>1</v>
      </c>
      <c r="K29" s="172"/>
    </row>
    <row r="30" spans="3:11" ht="12">
      <c r="C30" s="91">
        <f t="shared" si="2"/>
        <v>14</v>
      </c>
      <c r="D30" s="143" t="str">
        <v>Infinitum 399</v>
      </c>
      <c r="E30" s="169">
        <f t="shared" si="0"/>
        <v>80</v>
      </c>
      <c r="F30" s="170" t="str">
        <f>VLOOKUP($D30,'Planes y paquetes'!$C$654:$L$687,2,FALSE)</f>
        <v>Residencial</v>
      </c>
      <c r="G30" s="170" t="str">
        <f>VLOOKUP($D30,'Planes y paquetes'!$C$654:$L$687,3,FALSE)</f>
        <v>Internet fijo</v>
      </c>
      <c r="H30" s="171">
        <f>IFERROR(VLOOKUP($D30,$D$58:$K$91,H$14,FALSE)/SUM(VLOOKUP($D30,$D$58:$K102,H$14,FALSE),VLOOKUP($D30,$D$58:$K$91,I$14,FALSE)),"")</f>
        <v>6.322834645669291E-2</v>
      </c>
      <c r="I30" s="171">
        <f t="shared" si="1"/>
        <v>0.93677165354330705</v>
      </c>
      <c r="J30" s="171">
        <f t="shared" si="3"/>
        <v>1</v>
      </c>
      <c r="K30" s="172"/>
    </row>
    <row r="31" spans="3:11" ht="12">
      <c r="C31" s="91">
        <f t="shared" si="2"/>
        <v>15</v>
      </c>
      <c r="D31" s="143" t="str">
        <v>Infinitum 449</v>
      </c>
      <c r="E31" s="169">
        <f t="shared" si="0"/>
        <v>100</v>
      </c>
      <c r="F31" s="170" t="str">
        <f>VLOOKUP($D31,'Planes y paquetes'!$C$654:$L$687,2,FALSE)</f>
        <v>Residencial</v>
      </c>
      <c r="G31" s="170" t="str">
        <f>VLOOKUP($D31,'Planes y paquetes'!$C$654:$L$687,3,FALSE)</f>
        <v>Internet fijo</v>
      </c>
      <c r="H31" s="171">
        <f>IFERROR(VLOOKUP($D31,$D$58:$K$91,H$14,FALSE)/SUM(VLOOKUP($D31,$D$58:$K106,H$14,FALSE),VLOOKUP($D31,$D$58:$K$91,I$14,FALSE)),"")</f>
        <v>1.4225101960268385E-3</v>
      </c>
      <c r="I31" s="171">
        <f t="shared" si="1"/>
        <v>0.99857748980397321</v>
      </c>
      <c r="J31" s="171">
        <f t="shared" si="3"/>
        <v>1</v>
      </c>
      <c r="K31" s="172"/>
    </row>
    <row r="32" spans="3:11" ht="12">
      <c r="C32" s="91">
        <f t="shared" si="2"/>
        <v>16</v>
      </c>
      <c r="D32" s="143" t="str">
        <v>Infinitum 549</v>
      </c>
      <c r="E32" s="169">
        <f t="shared" si="0"/>
        <v>300</v>
      </c>
      <c r="F32" s="170" t="str">
        <f>VLOOKUP($D32,'Planes y paquetes'!$C$654:$L$687,2,FALSE)</f>
        <v>Residencial</v>
      </c>
      <c r="G32" s="170" t="str">
        <f>VLOOKUP($D32,'Planes y paquetes'!$C$654:$L$687,3,FALSE)</f>
        <v>Internet fijo</v>
      </c>
      <c r="H32" s="171">
        <f>IFERROR(VLOOKUP($D32,$D$58:$K$91,H$14,FALSE)/SUM(VLOOKUP($D32,$D$58:$K108,H$14,FALSE),VLOOKUP($D32,$D$58:$K$91,I$14,FALSE)),"")</f>
        <v>2.6209875839777888E-3</v>
      </c>
      <c r="I32" s="171">
        <f t="shared" si="1"/>
        <v>0.99737901241602223</v>
      </c>
      <c r="J32" s="171">
        <f t="shared" si="3"/>
        <v>1</v>
      </c>
      <c r="K32" s="172"/>
    </row>
    <row r="33" spans="3:11" ht="12">
      <c r="C33" s="91">
        <f t="shared" si="2"/>
        <v>17</v>
      </c>
      <c r="D33" s="143" t="str">
        <v>Infinitum 899</v>
      </c>
      <c r="E33" s="169">
        <f t="shared" si="0"/>
        <v>750</v>
      </c>
      <c r="F33" s="170" t="str">
        <f>VLOOKUP($D33,'Planes y paquetes'!$C$654:$L$687,2,FALSE)</f>
        <v>Residencial</v>
      </c>
      <c r="G33" s="170" t="str">
        <f>VLOOKUP($D33,'Planes y paquetes'!$C$654:$L$687,3,FALSE)</f>
        <v>Internet fijo</v>
      </c>
      <c r="H33" s="171">
        <f>IFERROR(VLOOKUP($D33,$D$58:$K$91,H$14,FALSE)/SUM(VLOOKUP($D33,$D$58:$K108,H$14,FALSE),VLOOKUP($D33,$D$58:$K$91,I$14,FALSE)),"")</f>
        <v>6.0490437857707872E-4</v>
      </c>
      <c r="I33" s="171">
        <f t="shared" si="1"/>
        <v>0.99939509562142292</v>
      </c>
      <c r="J33" s="171">
        <f t="shared" si="3"/>
        <v>1</v>
      </c>
      <c r="K33" s="172"/>
    </row>
    <row r="34" spans="3:11" ht="12">
      <c r="C34" s="91">
        <f t="shared" si="2"/>
        <v>18</v>
      </c>
      <c r="D34" s="143" t="str">
        <v>Paquete Conectes Negocio</v>
      </c>
      <c r="E34" s="169">
        <f t="shared" si="0"/>
        <v>60</v>
      </c>
      <c r="F34" s="170" t="str">
        <f>VLOOKUP($D34,'Planes y paquetes'!$C$654:$L$687,2,FALSE)</f>
        <v>No Residencial</v>
      </c>
      <c r="G34" s="170" t="str">
        <f>VLOOKUP($D34,'Planes y paquetes'!$C$654:$L$687,3,FALSE)</f>
        <v>Telefonía fija + Internet fijo</v>
      </c>
      <c r="H34" s="171">
        <f>IFERROR(VLOOKUP($D34,$D$58:$K$91,H$14,FALSE)/SUM(VLOOKUP($D34,$D$58:$K108,H$14,FALSE),VLOOKUP($D34,$D$58:$K$91,I$14,FALSE)),"")</f>
        <v>0.16805876412732226</v>
      </c>
      <c r="I34" s="171">
        <f t="shared" si="1"/>
        <v>0.83194123587267776</v>
      </c>
      <c r="J34" s="171">
        <f t="shared" si="3"/>
        <v>1</v>
      </c>
      <c r="K34" s="172"/>
    </row>
    <row r="35" spans="3:11" ht="12">
      <c r="C35" s="91">
        <f t="shared" si="2"/>
        <v>19</v>
      </c>
      <c r="D35" s="143" t="str">
        <v>Paquete Mi Negocio</v>
      </c>
      <c r="E35" s="169">
        <f t="shared" si="0"/>
        <v>100</v>
      </c>
      <c r="F35" s="170" t="str">
        <f>VLOOKUP($D35,'Planes y paquetes'!$C$654:$L$687,2,FALSE)</f>
        <v>No Residencial</v>
      </c>
      <c r="G35" s="170" t="str">
        <f>VLOOKUP($D35,'Planes y paquetes'!$C$654:$L$687,3,FALSE)</f>
        <v>Telefonía fija + Internet fijo</v>
      </c>
      <c r="H35" s="171">
        <f>IFERROR(VLOOKUP($D35,$D$58:$K$91,H$14,FALSE)/SUM(VLOOKUP($D35,$D$58:$K108,H$14,FALSE),VLOOKUP($D35,$D$58:$K$91,I$14,FALSE)),"")</f>
        <v>0.17231860767658216</v>
      </c>
      <c r="I35" s="171">
        <f t="shared" si="1"/>
        <v>0.82768139232341786</v>
      </c>
      <c r="J35" s="171">
        <f t="shared" si="3"/>
        <v>1</v>
      </c>
      <c r="K35" s="172"/>
    </row>
    <row r="36" spans="3:11" ht="12">
      <c r="C36" s="91">
        <f t="shared" si="2"/>
        <v>20</v>
      </c>
      <c r="D36" s="143" t="str">
        <v>Paquete Negocio 649</v>
      </c>
      <c r="E36" s="169">
        <f t="shared" si="0"/>
        <v>200</v>
      </c>
      <c r="F36" s="170" t="str">
        <f>VLOOKUP($D36,'Planes y paquetes'!$C$654:$L$687,2,FALSE)</f>
        <v>No Residencial</v>
      </c>
      <c r="G36" s="170" t="str">
        <f>VLOOKUP($D36,'Planes y paquetes'!$C$654:$L$687,3,FALSE)</f>
        <v>Telefonía fija + Internet fijo</v>
      </c>
      <c r="H36" s="171">
        <f>IFERROR(VLOOKUP($D36,$D$58:$K$91,H$14,FALSE)/SUM(VLOOKUP($D36,$D$58:$K109,H$14,FALSE),VLOOKUP($D36,$D$58:$K$91,I$14,FALSE)),"")</f>
        <v>2.0858164481525627E-2</v>
      </c>
      <c r="I36" s="171">
        <f t="shared" si="1"/>
        <v>0.97914183551847433</v>
      </c>
      <c r="J36" s="171">
        <f t="shared" si="3"/>
        <v>1</v>
      </c>
      <c r="K36" s="172"/>
    </row>
    <row r="37" spans="3:11" ht="12">
      <c r="C37" s="91">
        <f t="shared" si="2"/>
        <v>21</v>
      </c>
      <c r="D37" s="143" t="str">
        <v>Paquete Supernegocio</v>
      </c>
      <c r="E37" s="169">
        <f t="shared" si="0"/>
        <v>300</v>
      </c>
      <c r="F37" s="170" t="str">
        <f>VLOOKUP($D37,'Planes y paquetes'!$C$654:$L$687,2,FALSE)</f>
        <v>No Residencial</v>
      </c>
      <c r="G37" s="170" t="str">
        <f>VLOOKUP($D37,'Planes y paquetes'!$C$654:$L$687,3,FALSE)</f>
        <v>Telefonía fija + Internet fijo</v>
      </c>
      <c r="H37" s="171">
        <f>IFERROR(VLOOKUP($D37,$D$58:$K$91,H$14,FALSE)/SUM(VLOOKUP($D37,$D$58:$K110,H$14,FALSE),VLOOKUP($D37,$D$58:$K$91,I$14,FALSE)),"")</f>
        <v>0.13513370603419683</v>
      </c>
      <c r="I37" s="171">
        <f t="shared" si="1"/>
        <v>0.86486629396580317</v>
      </c>
      <c r="J37" s="171">
        <f t="shared" si="3"/>
        <v>1</v>
      </c>
      <c r="K37" s="173"/>
    </row>
    <row r="38" spans="3:11" ht="12">
      <c r="C38" s="91">
        <f t="shared" si="2"/>
        <v>22</v>
      </c>
      <c r="D38" s="143" t="str">
        <v>Paquete Negocio 999</v>
      </c>
      <c r="E38" s="169">
        <f t="shared" si="0"/>
        <v>500</v>
      </c>
      <c r="F38" s="170" t="str">
        <f>VLOOKUP($D38,'Planes y paquetes'!$C$654:$L$687,2,FALSE)</f>
        <v>No Residencial</v>
      </c>
      <c r="G38" s="170" t="str">
        <f>VLOOKUP($D38,'Planes y paquetes'!$C$654:$L$687,3,FALSE)</f>
        <v>Telefonía fija + Internet fijo</v>
      </c>
      <c r="H38" s="171">
        <f>IFERROR(VLOOKUP($D38,$D$58:$K$91,H$14,FALSE)/SUM(VLOOKUP($D38,$D$58:$K111,H$14,FALSE),VLOOKUP($D38,$D$58:$K$91,I$14,FALSE)),"")</f>
        <v>1.3763763763763764E-2</v>
      </c>
      <c r="I38" s="171">
        <f t="shared" si="1"/>
        <v>0.98623623623623624</v>
      </c>
      <c r="J38" s="171">
        <f t="shared" si="3"/>
        <v>1</v>
      </c>
      <c r="K38" s="172"/>
    </row>
    <row r="39" spans="3:11" ht="12">
      <c r="C39" s="91">
        <f t="shared" si="2"/>
        <v>23</v>
      </c>
      <c r="D39" s="143" t="str">
        <v>Paquete Telmex Negocio Ilimitado 1</v>
      </c>
      <c r="E39" s="169">
        <f t="shared" si="0"/>
        <v>750</v>
      </c>
      <c r="F39" s="170" t="str">
        <f>VLOOKUP($D39,'Planes y paquetes'!$C$654:$L$687,2,FALSE)</f>
        <v>No Residencial</v>
      </c>
      <c r="G39" s="170" t="str">
        <f>VLOOKUP($D39,'Planes y paquetes'!$C$654:$L$687,3,FALSE)</f>
        <v>Telefonía fija + Internet fijo</v>
      </c>
      <c r="H39" s="171">
        <f>IFERROR(VLOOKUP($D39,$D$58:$K$91,H$14,FALSE)/SUM(VLOOKUP($D39,$D$58:$K112,H$14,FALSE),VLOOKUP($D39,$D$58:$K$91,I$14,FALSE)),"")</f>
        <v>0.15662650602409639</v>
      </c>
      <c r="I39" s="171">
        <f t="shared" si="1"/>
        <v>0.84337349397590367</v>
      </c>
      <c r="J39" s="171">
        <f t="shared" si="3"/>
        <v>1</v>
      </c>
      <c r="K39" s="172"/>
    </row>
    <row r="40" spans="3:11" ht="12">
      <c r="C40" s="91">
        <f t="shared" si="2"/>
        <v>24</v>
      </c>
      <c r="D40" s="143" t="str">
        <v>Paquete Telmex Negocio Ilimitado 2</v>
      </c>
      <c r="E40" s="169">
        <f t="shared" si="0"/>
        <v>750</v>
      </c>
      <c r="F40" s="170" t="str">
        <f>VLOOKUP($D40,'Planes y paquetes'!$C$654:$L$687,2,FALSE)</f>
        <v>No Residencial</v>
      </c>
      <c r="G40" s="170" t="str">
        <f>VLOOKUP($D40,'Planes y paquetes'!$C$654:$L$687,3,FALSE)</f>
        <v>Telefonía fija + Internet fijo</v>
      </c>
      <c r="H40" s="171">
        <f>IFERROR(VLOOKUP($D40,$D$58:$K$91,H$14,FALSE)/SUM(VLOOKUP($D40,$D$58:$K113,H$14,FALSE),VLOOKUP($D40,$D$58:$K$91,I$14,FALSE)),"")</f>
        <v>7.6923076923076927E-2</v>
      </c>
      <c r="I40" s="171">
        <f t="shared" si="1"/>
        <v>0.92307692307692313</v>
      </c>
      <c r="J40" s="171">
        <f t="shared" si="3"/>
        <v>1</v>
      </c>
      <c r="K40" s="172"/>
    </row>
    <row r="41" spans="3:11" ht="12">
      <c r="C41" s="91">
        <f t="shared" si="2"/>
        <v>25</v>
      </c>
      <c r="D41" s="143" t="str">
        <v>Paquete Telmex Negocio Ilimitado 3</v>
      </c>
      <c r="E41" s="169">
        <f t="shared" si="0"/>
        <v>1000</v>
      </c>
      <c r="F41" s="170" t="str">
        <f>VLOOKUP($D41,'Planes y paquetes'!$C$654:$L$687,2,FALSE)</f>
        <v>No Residencial</v>
      </c>
      <c r="G41" s="170" t="str">
        <f>VLOOKUP($D41,'Planes y paquetes'!$C$654:$L$687,3,FALSE)</f>
        <v>Telefonía fija + Internet fijo</v>
      </c>
      <c r="H41" s="171">
        <f>IFERROR(VLOOKUP($D41,$D$58:$K$91,H$14,FALSE)/SUM(VLOOKUP($D41,$D$58:$K114,H$14,FALSE),VLOOKUP($D41,$D$58:$K$91,I$14,FALSE)),"")</f>
        <v>0.10526315789473684</v>
      </c>
      <c r="I41" s="171">
        <f t="shared" si="1"/>
        <v>0.89473684210526316</v>
      </c>
      <c r="J41" s="171">
        <f t="shared" si="3"/>
        <v>1</v>
      </c>
      <c r="K41" s="172"/>
    </row>
    <row r="42" spans="3:11" ht="12">
      <c r="C42" s="91">
        <f t="shared" si="2"/>
        <v>26</v>
      </c>
      <c r="D42" s="143" t="str">
        <v>Infinitum 299 N</v>
      </c>
      <c r="E42" s="169">
        <f t="shared" si="0"/>
        <v>40</v>
      </c>
      <c r="F42" s="170" t="str">
        <f>VLOOKUP($D42,'Planes y paquetes'!$C$654:$L$687,2,FALSE)</f>
        <v>No Residencial</v>
      </c>
      <c r="G42" s="170" t="str">
        <f>VLOOKUP($D42,'Planes y paquetes'!$C$654:$L$687,3,FALSE)</f>
        <v>Internet fijo</v>
      </c>
      <c r="H42" s="171">
        <f>IFERROR(VLOOKUP($D42,$D$58:$K$91,H$14,FALSE)/SUM(VLOOKUP($D42,$D$58:$K115,H$14,FALSE),VLOOKUP($D42,$D$58:$K$91,I$14,FALSE)),"")</f>
        <v>0.34951456310679613</v>
      </c>
      <c r="I42" s="171">
        <f t="shared" si="1"/>
        <v>0.65048543689320393</v>
      </c>
      <c r="J42" s="171">
        <f t="shared" si="3"/>
        <v>1</v>
      </c>
      <c r="K42" s="172"/>
    </row>
    <row r="43" spans="3:11" ht="12">
      <c r="C43" s="91">
        <f t="shared" si="2"/>
        <v>27</v>
      </c>
      <c r="D43" s="143" t="str">
        <v>Infinitum Negocio 349</v>
      </c>
      <c r="E43" s="169">
        <f t="shared" si="0"/>
        <v>60</v>
      </c>
      <c r="F43" s="170" t="str">
        <f>VLOOKUP($D43,'Planes y paquetes'!$C$654:$L$687,2,FALSE)</f>
        <v>No Residencial</v>
      </c>
      <c r="G43" s="170" t="str">
        <f>VLOOKUP($D43,'Planes y paquetes'!$C$654:$L$687,3,FALSE)</f>
        <v>Internet fijo</v>
      </c>
      <c r="H43" s="171">
        <f>IFERROR(VLOOKUP($D43,$D$58:$K$91,H$14,FALSE)/SUM(VLOOKUP($D43,$D$58:$K117,H$14,FALSE),VLOOKUP($D43,$D$58:$K$91,I$14,FALSE)),"")</f>
        <v>0.1732584430965797</v>
      </c>
      <c r="I43" s="171">
        <f t="shared" si="1"/>
        <v>0.82674155690342033</v>
      </c>
      <c r="J43" s="171">
        <f t="shared" si="3"/>
        <v>1</v>
      </c>
      <c r="K43" s="172"/>
    </row>
    <row r="44" spans="3:11" ht="12">
      <c r="C44" s="91">
        <f t="shared" si="2"/>
        <v>28</v>
      </c>
      <c r="D44" s="143" t="str">
        <v>Infinitum Negocio 399</v>
      </c>
      <c r="E44" s="169">
        <f t="shared" si="0"/>
        <v>80</v>
      </c>
      <c r="F44" s="170" t="str">
        <f>VLOOKUP($D44,'Planes y paquetes'!$C$654:$L$687,2,FALSE)</f>
        <v>No Residencial</v>
      </c>
      <c r="G44" s="170" t="str">
        <f>VLOOKUP($D44,'Planes y paquetes'!$C$654:$L$687,3,FALSE)</f>
        <v>Internet fijo</v>
      </c>
      <c r="H44" s="171">
        <f>IFERROR(VLOOKUP($D44,$D$58:$K$91,H$14,FALSE)/SUM(VLOOKUP($D44,$D$58:$K118,H$14,FALSE),VLOOKUP($D44,$D$58:$K$91,I$14,FALSE)),"")</f>
        <v>0.10277167033113466</v>
      </c>
      <c r="I44" s="171">
        <f t="shared" si="1"/>
        <v>0.89722832966886534</v>
      </c>
      <c r="J44" s="171">
        <f t="shared" si="3"/>
        <v>1</v>
      </c>
      <c r="K44" s="172"/>
    </row>
    <row r="45" spans="3:11" ht="12">
      <c r="C45" s="91">
        <f t="shared" si="2"/>
        <v>29</v>
      </c>
      <c r="D45" s="143" t="str">
        <v>Infinitum Negocio 449</v>
      </c>
      <c r="E45" s="169">
        <f t="shared" si="0"/>
        <v>100</v>
      </c>
      <c r="F45" s="170" t="str">
        <f>VLOOKUP($D45,'Planes y paquetes'!$C$654:$L$687,2,FALSE)</f>
        <v>No Residencial</v>
      </c>
      <c r="G45" s="170" t="str">
        <f>VLOOKUP($D45,'Planes y paquetes'!$C$654:$L$687,3,FALSE)</f>
        <v>Internet fijo</v>
      </c>
      <c r="H45" s="171">
        <f>IFERROR(VLOOKUP($D45,$D$58:$K$91,H$14,FALSE)/SUM(VLOOKUP($D45,$D$58:$K119,H$14,FALSE),VLOOKUP($D45,$D$58:$K$91,I$14,FALSE)),"")</f>
        <v>6.7119099112536353E-4</v>
      </c>
      <c r="I45" s="171">
        <f t="shared" si="1"/>
        <v>0.99932880900887466</v>
      </c>
      <c r="J45" s="171">
        <f t="shared" si="3"/>
        <v>1</v>
      </c>
      <c r="K45" s="172"/>
    </row>
    <row r="46" spans="3:11" ht="12">
      <c r="C46" s="91">
        <f t="shared" si="2"/>
        <v>30</v>
      </c>
      <c r="D46" s="143" t="str">
        <v>Infinitum Negocio 549</v>
      </c>
      <c r="E46" s="169">
        <f t="shared" si="0"/>
        <v>200</v>
      </c>
      <c r="F46" s="170" t="str">
        <f>VLOOKUP($D46,'Planes y paquetes'!$C$654:$L$687,2,FALSE)</f>
        <v>No Residencial</v>
      </c>
      <c r="G46" s="170" t="str">
        <f>VLOOKUP($D46,'Planes y paquetes'!$C$654:$L$687,3,FALSE)</f>
        <v>Internet fijo</v>
      </c>
      <c r="H46" s="171">
        <f>IFERROR(VLOOKUP($D46,$D$58:$K$91,H$14,FALSE)/SUM(VLOOKUP($D46,$D$58:$K120,H$14,FALSE),VLOOKUP($D46,$D$58:$K$91,I$14,FALSE)),"")</f>
        <v>5.5092776235180045E-3</v>
      </c>
      <c r="I46" s="171">
        <f t="shared" si="1"/>
        <v>0.99449072237648195</v>
      </c>
      <c r="J46" s="171">
        <f t="shared" si="3"/>
        <v>1</v>
      </c>
      <c r="K46" s="172"/>
    </row>
    <row r="47" spans="3:11" ht="12">
      <c r="C47" s="91">
        <f t="shared" si="2"/>
        <v>31</v>
      </c>
      <c r="D47" s="143" t="str">
        <v>Infinitum Negocio 899</v>
      </c>
      <c r="E47" s="169">
        <f t="shared" si="0"/>
        <v>750</v>
      </c>
      <c r="F47" s="170" t="str">
        <f>VLOOKUP($D47,'Planes y paquetes'!$C$654:$L$687,2,FALSE)</f>
        <v>No Residencial</v>
      </c>
      <c r="G47" s="170" t="str">
        <f>VLOOKUP($D47,'Planes y paquetes'!$C$654:$L$687,3,FALSE)</f>
        <v>Internet fijo</v>
      </c>
      <c r="H47" s="171">
        <f>IFERROR(VLOOKUP($D47,$D$58:$K$91,H$14,FALSE)/SUM(VLOOKUP($D47,$D$58:$K121,H$14,FALSE),VLOOKUP($D47,$D$58:$K$91,I$14,FALSE)),"")</f>
        <v>2.7389756231169541E-3</v>
      </c>
      <c r="I47" s="171">
        <f t="shared" si="1"/>
        <v>0.99726102437688302</v>
      </c>
      <c r="J47" s="171">
        <f t="shared" si="3"/>
        <v>1</v>
      </c>
      <c r="K47" s="172"/>
    </row>
    <row r="48" spans="3:11" ht="12">
      <c r="C48" s="91">
        <f t="shared" si="2"/>
        <v>32</v>
      </c>
      <c r="D48" s="143" t="str">
        <v>Infinitum Negocio</v>
      </c>
      <c r="E48" s="169">
        <f t="shared" si="0"/>
        <v>30</v>
      </c>
      <c r="F48" s="170" t="str">
        <f>VLOOKUP($D48,'Planes y paquetes'!$C$654:$L$687,2,FALSE)</f>
        <v>No Residencial</v>
      </c>
      <c r="G48" s="170" t="str">
        <f>VLOOKUP($D48,'Planes y paquetes'!$C$654:$L$687,3,FALSE)</f>
        <v>Telefonía fija + Internet fijo</v>
      </c>
      <c r="H48" s="171">
        <f>IFERROR(VLOOKUP($D48,$D$58:$K$91,H$14,FALSE)/SUM(VLOOKUP($D48,$D$58:$K122,H$14,FALSE),VLOOKUP($D48,$D$58:$K$91,I$14,FALSE)),"")</f>
        <v>0.47417179131124776</v>
      </c>
      <c r="I48" s="171">
        <f t="shared" si="1"/>
        <v>0.52582820868875224</v>
      </c>
      <c r="J48" s="171">
        <f t="shared" si="3"/>
        <v>1</v>
      </c>
      <c r="K48" s="172"/>
    </row>
    <row r="49" spans="3:13" ht="12">
      <c r="C49" s="91">
        <f t="shared" si="2"/>
        <v>33</v>
      </c>
      <c r="D49" s="143" t="str">
        <v>Infinitum Negocio Red</v>
      </c>
      <c r="E49" s="169">
        <f t="shared" si="0"/>
        <v>50</v>
      </c>
      <c r="F49" s="170" t="str">
        <f>VLOOKUP($D49,'Planes y paquetes'!$C$654:$L$687,2,FALSE)</f>
        <v>No Residencial</v>
      </c>
      <c r="G49" s="170" t="str">
        <f>VLOOKUP($D49,'Planes y paquetes'!$C$654:$L$687,3,FALSE)</f>
        <v>Telefonía fija + Internet fijo</v>
      </c>
      <c r="H49" s="171">
        <f>IFERROR(VLOOKUP($D49,$D$58:$K$91,H$14,FALSE)/SUM(VLOOKUP($D49,$D$58:$K124,H$14,FALSE),VLOOKUP($D49,$D$58:$K$91,I$14,FALSE)),"")</f>
        <v>0.34421918737806428</v>
      </c>
      <c r="I49" s="171">
        <f t="shared" si="1"/>
        <v>0.65578081262193566</v>
      </c>
      <c r="J49" s="171">
        <f t="shared" si="3"/>
        <v>1</v>
      </c>
      <c r="K49" s="172"/>
    </row>
    <row r="50" spans="3:13" ht="12.75" thickBot="1">
      <c r="C50" s="91">
        <f t="shared" si="2"/>
        <v>34</v>
      </c>
      <c r="D50" s="143" t="str">
        <v>Infinitum Negocio Premium</v>
      </c>
      <c r="E50" s="169">
        <f t="shared" si="0"/>
        <v>100</v>
      </c>
      <c r="F50" s="170" t="str">
        <f>VLOOKUP($D50,'Planes y paquetes'!$C$654:$L$687,2,FALSE)</f>
        <v>No Residencial</v>
      </c>
      <c r="G50" s="170" t="str">
        <f>VLOOKUP($D50,'Planes y paquetes'!$C$654:$L$687,3,FALSE)</f>
        <v>Telefonía fija + Internet fijo</v>
      </c>
      <c r="H50" s="171">
        <f>IFERROR(VLOOKUP($D50,$D$58:$K$91,H$14,FALSE)/SUM(VLOOKUP($D50,$D$58:$K125,H$14,FALSE),VLOOKUP($D50,$D$58:$K$91,I$14,FALSE)),"")</f>
        <v>0.28553483428350568</v>
      </c>
      <c r="I50" s="171">
        <f t="shared" si="1"/>
        <v>0.71446516571649432</v>
      </c>
      <c r="J50" s="171">
        <f t="shared" si="3"/>
        <v>1</v>
      </c>
      <c r="K50" s="172"/>
    </row>
    <row r="51" spans="3:13" ht="11.25" customHeight="1">
      <c r="C51" s="50"/>
      <c r="D51" s="50"/>
      <c r="E51" s="50"/>
      <c r="F51" s="50"/>
      <c r="G51" s="50"/>
      <c r="H51" s="50"/>
      <c r="I51" s="50"/>
      <c r="J51" s="50"/>
      <c r="K51" s="50"/>
      <c r="L51" s="174" t="s">
        <v>393</v>
      </c>
      <c r="M51" s="50"/>
    </row>
    <row r="52" spans="3:13" ht="12"/>
    <row r="53" spans="3:13" ht="12"/>
    <row r="54" spans="3:13" ht="12">
      <c r="C54" s="125" t="s">
        <v>394</v>
      </c>
    </row>
    <row r="55" spans="3:13" ht="12">
      <c r="J55" s="175">
        <v>8</v>
      </c>
      <c r="K55" s="176">
        <v>9</v>
      </c>
      <c r="L55" s="176">
        <v>10</v>
      </c>
    </row>
    <row r="56" spans="3:13" ht="24">
      <c r="J56" s="177" t="str">
        <f>"Distribución "&amp;Year.selected&amp;" de suscriptores por medio de transmisión"</f>
        <v>Distribución 2024 de suscriptores por medio de transmisión</v>
      </c>
      <c r="K56" s="177"/>
    </row>
    <row r="57" spans="3:13" ht="72">
      <c r="C57" s="69"/>
      <c r="D57" s="69" t="s">
        <v>389</v>
      </c>
      <c r="E57" s="178" t="s">
        <v>395</v>
      </c>
      <c r="F57" s="40" t="s">
        <v>318</v>
      </c>
      <c r="G57" s="40" t="s">
        <v>319</v>
      </c>
      <c r="H57" s="40" t="s">
        <v>390</v>
      </c>
      <c r="I57" s="40" t="s">
        <v>396</v>
      </c>
      <c r="J57" s="40" t="s">
        <v>397</v>
      </c>
      <c r="K57" s="40" t="s">
        <v>392</v>
      </c>
      <c r="L57" s="40"/>
      <c r="M57" s="40"/>
    </row>
    <row r="58" spans="3:13" ht="12">
      <c r="C58" s="95">
        <v>1</v>
      </c>
      <c r="D58" s="143" t="str">
        <f t="array" ref="D58:D91">vector.broadband.plans.names</f>
        <v>Paquete 249</v>
      </c>
      <c r="F58" s="170" t="str">
        <f>VLOOKUP($D58,'Planes y paquetes'!$C$654:$L$687,2,FALSE)</f>
        <v>Residencial</v>
      </c>
      <c r="G58" s="170" t="str">
        <f>VLOOKUP($D58,'Planes y paquetes'!$C$654:$L$687,3,FALSE)</f>
        <v>Telefonía fija + Internet fijo</v>
      </c>
      <c r="H58" s="170">
        <f>IFERROR(VLOOKUP($D58,'Planes y paquetes'!$C$384:$BW$417,69,FALSE),"")</f>
        <v>15</v>
      </c>
      <c r="I58" s="179">
        <f>IFERROR(VLOOKUP($D58,'Planes y paquetes'!$C$384:$BW$417,70,FALSE),"")</f>
        <v>0.64</v>
      </c>
      <c r="J58" s="180">
        <f>IFERROR(SUM(VLOOKUP($D58,'Planes y paquetes'!$C$654:$L$687,'Cálculos auxiliares'!L$55,FALSE),VLOOKUP($D58,'Planes y paquetes'!$C$654:$L$687,'Cálculos auxiliares'!J$55,FALSE)),"")</f>
        <v>43002</v>
      </c>
      <c r="K58" s="181">
        <f>IFERROR(VLOOKUP($D58,'Planes y paquetes'!C654:L687,'Cálculos auxiliares'!K$55,FALSE),"")</f>
        <v>157080</v>
      </c>
      <c r="L58" s="182"/>
      <c r="M58" s="183"/>
    </row>
    <row r="59" spans="3:13" ht="12">
      <c r="C59" s="91">
        <f>1+C58</f>
        <v>2</v>
      </c>
      <c r="D59" s="143" t="str">
        <v>Paquete 289</v>
      </c>
      <c r="F59" s="170" t="str">
        <f>VLOOKUP($D59,'Planes y paquetes'!$C$654:$L$687,2,FALSE)</f>
        <v>Residencial</v>
      </c>
      <c r="G59" s="170" t="str">
        <f>VLOOKUP($D59,'Planes y paquetes'!$C$654:$L$687,3,FALSE)</f>
        <v>Telefonía fija + Internet fijo</v>
      </c>
      <c r="H59" s="170">
        <f>IFERROR(VLOOKUP($D59,'Planes y paquetes'!$C$384:$BW$417,69,FALSE),"")</f>
        <v>15</v>
      </c>
      <c r="I59" s="179">
        <f>IFERROR(VLOOKUP($D59,'Planes y paquetes'!$C$384:$BW$417,70,FALSE),"")</f>
        <v>0.64</v>
      </c>
      <c r="J59" s="180">
        <f>IFERROR(SUM(VLOOKUP($D59,'Planes y paquetes'!$C$654:$L$687,'Cálculos auxiliares'!L$55,FALSE),VLOOKUP($D59,'Planes y paquetes'!$C$654:$L$687,'Cálculos auxiliares'!J$55,FALSE)),"")</f>
        <v>15154</v>
      </c>
      <c r="K59" s="181">
        <f>IFERROR(VLOOKUP($D59,'Planes y paquetes'!C655:L688,'Cálculos auxiliares'!K$55,FALSE),"")</f>
        <v>44415</v>
      </c>
      <c r="L59" s="182"/>
      <c r="M59" s="183"/>
    </row>
    <row r="60" spans="3:13" ht="12">
      <c r="C60" s="91">
        <f t="shared" ref="C60:C91" si="4">1+C59</f>
        <v>3</v>
      </c>
      <c r="D60" s="143" t="str">
        <v>Paquete 333</v>
      </c>
      <c r="F60" s="170" t="str">
        <f>VLOOKUP($D60,'Planes y paquetes'!$C$654:$L$687,2,FALSE)</f>
        <v>Residencial</v>
      </c>
      <c r="G60" s="170" t="str">
        <f>VLOOKUP($D60,'Planes y paquetes'!$C$654:$L$687,3,FALSE)</f>
        <v>Telefonía fija + Internet fijo</v>
      </c>
      <c r="H60" s="170">
        <f>IFERROR(VLOOKUP($D60,'Planes y paquetes'!$C$384:$BW$417,69,FALSE),"")</f>
        <v>15</v>
      </c>
      <c r="I60" s="179">
        <f>IFERROR(VLOOKUP($D60,'Planes y paquetes'!$C$384:$BW$417,70,FALSE),"")</f>
        <v>0.64</v>
      </c>
      <c r="J60" s="180">
        <f>IFERROR(SUM(VLOOKUP($D60,'Planes y paquetes'!$C$654:$L$687,'Cálculos auxiliares'!L$55,FALSE),VLOOKUP($D60,'Planes y paquetes'!$C$654:$L$687,'Cálculos auxiliares'!J$55,FALSE)),"")</f>
        <v>16514</v>
      </c>
      <c r="K60" s="181">
        <f>IFERROR(VLOOKUP($D60,'Planes y paquetes'!C656:L689,'Cálculos auxiliares'!K$55,FALSE),"")</f>
        <v>43919</v>
      </c>
      <c r="L60" s="182"/>
      <c r="M60" s="183"/>
    </row>
    <row r="61" spans="3:13" ht="12">
      <c r="C61" s="91">
        <f t="shared" si="4"/>
        <v>4</v>
      </c>
      <c r="D61" s="143" t="str">
        <v>Paquete 389</v>
      </c>
      <c r="F61" s="170" t="str">
        <f>VLOOKUP($D61,'Planes y paquetes'!$C$654:$L$687,2,FALSE)</f>
        <v>Residencial</v>
      </c>
      <c r="G61" s="170" t="str">
        <f>VLOOKUP($D61,'Planes y paquetes'!$C$654:$L$687,3,FALSE)</f>
        <v>Telefonía fija + Internet fijo</v>
      </c>
      <c r="H61" s="170">
        <f>IFERROR(VLOOKUP($D61,'Planes y paquetes'!$C$384:$BW$417,69,FALSE),"")</f>
        <v>60</v>
      </c>
      <c r="I61" s="184">
        <f>IFERROR(VLOOKUP($D61,'Planes y paquetes'!$C$384:$BW$417,70,FALSE),"")</f>
        <v>10</v>
      </c>
      <c r="J61" s="180">
        <f>IFERROR(SUM(VLOOKUP($D61,'Planes y paquetes'!$C$654:$L$687,'Cálculos auxiliares'!L$55,FALSE),VLOOKUP($D61,'Planes y paquetes'!$C$654:$L$687,'Cálculos auxiliares'!J$55,FALSE)),"")</f>
        <v>1205238</v>
      </c>
      <c r="K61" s="181">
        <f>IFERROR(VLOOKUP($D61,'Planes y paquetes'!C657:L690,'Cálculos auxiliares'!K$55,FALSE),"")</f>
        <v>5012893</v>
      </c>
      <c r="L61" s="182"/>
      <c r="M61" s="183"/>
    </row>
    <row r="62" spans="3:13" ht="12">
      <c r="C62" s="91">
        <f t="shared" si="4"/>
        <v>5</v>
      </c>
      <c r="D62" s="143" t="str">
        <v>Paquete 435</v>
      </c>
      <c r="F62" s="170" t="str">
        <f>VLOOKUP($D62,'Planes y paquetes'!$C$654:$L$687,2,FALSE)</f>
        <v>Residencial</v>
      </c>
      <c r="G62" s="170" t="str">
        <f>VLOOKUP($D62,'Planes y paquetes'!$C$654:$L$687,3,FALSE)</f>
        <v>Telefonía fija + Internet fijo</v>
      </c>
      <c r="H62" s="170">
        <f>IFERROR(VLOOKUP($D62,'Planes y paquetes'!$C$384:$BW$417,69,FALSE),"")</f>
        <v>80</v>
      </c>
      <c r="I62" s="184">
        <f>IFERROR(VLOOKUP($D62,'Planes y paquetes'!$C$384:$BW$417,70,FALSE),"")</f>
        <v>20</v>
      </c>
      <c r="J62" s="180">
        <f>IFERROR(SUM(VLOOKUP($D62,'Planes y paquetes'!$C$654:$L$687,'Cálculos auxiliares'!L$55,FALSE),VLOOKUP($D62,'Planes y paquetes'!$C$654:$L$687,'Cálculos auxiliares'!J$55,FALSE)),"")</f>
        <v>19037</v>
      </c>
      <c r="K62" s="181">
        <f>IFERROR(VLOOKUP($D62,'Planes y paquetes'!C658:L691,'Cálculos auxiliares'!K$55,FALSE),"")</f>
        <v>311930</v>
      </c>
      <c r="L62" s="182"/>
      <c r="M62" s="183"/>
    </row>
    <row r="63" spans="3:13" ht="12">
      <c r="C63" s="91">
        <f t="shared" si="4"/>
        <v>6</v>
      </c>
      <c r="D63" s="143" t="str">
        <v>Paquete 499</v>
      </c>
      <c r="F63" s="170" t="str">
        <f>VLOOKUP($D63,'Planes y paquetes'!$C$654:$L$687,2,FALSE)</f>
        <v>Residencial</v>
      </c>
      <c r="G63" s="170" t="str">
        <f>VLOOKUP($D63,'Planes y paquetes'!$C$654:$L$687,3,FALSE)</f>
        <v>Telefonía fija + Internet fijo</v>
      </c>
      <c r="H63" s="170">
        <f>IFERROR(VLOOKUP($D63,'Planes y paquetes'!$C$384:$BW$417,69,FALSE),"")</f>
        <v>100</v>
      </c>
      <c r="I63" s="184">
        <f>IFERROR(VLOOKUP($D63,'Planes y paquetes'!$C$384:$BW$417,70,FALSE),"")</f>
        <v>10</v>
      </c>
      <c r="J63" s="180">
        <f>IFERROR(SUM(VLOOKUP($D63,'Planes y paquetes'!$C$654:$L$687,'Cálculos auxiliares'!L$55,FALSE),VLOOKUP($D63,'Planes y paquetes'!$C$654:$L$687,'Cálculos auxiliares'!J$55,FALSE)),"")</f>
        <v>8279</v>
      </c>
      <c r="K63" s="181">
        <f>IFERROR(VLOOKUP($D63,'Planes y paquetes'!C659:L692,'Cálculos auxiliares'!K$55,FALSE),"")</f>
        <v>289896</v>
      </c>
      <c r="L63" s="182"/>
      <c r="M63" s="183"/>
    </row>
    <row r="64" spans="3:13" ht="12">
      <c r="C64" s="91">
        <f t="shared" si="4"/>
        <v>7</v>
      </c>
      <c r="D64" s="143" t="str">
        <v>Paquete 599</v>
      </c>
      <c r="F64" s="170" t="str">
        <f>VLOOKUP($D64,'Planes y paquetes'!$C$654:$L$687,2,FALSE)</f>
        <v>Residencial</v>
      </c>
      <c r="G64" s="170" t="str">
        <f>VLOOKUP($D64,'Planes y paquetes'!$C$654:$L$687,3,FALSE)</f>
        <v>Telefonía fija + Internet fijo</v>
      </c>
      <c r="H64" s="170">
        <f>IFERROR(VLOOKUP($D64,'Planes y paquetes'!$C$384:$BW$417,69,FALSE),"")</f>
        <v>200</v>
      </c>
      <c r="I64" s="184">
        <f>IFERROR(VLOOKUP($D64,'Planes y paquetes'!$C$384:$BW$417,70,FALSE),"")</f>
        <v>50</v>
      </c>
      <c r="J64" s="180">
        <f>IFERROR(SUM(VLOOKUP($D64,'Planes y paquetes'!$C$654:$L$687,'Cálculos auxiliares'!L$55,FALSE),VLOOKUP($D64,'Planes y paquetes'!$C$654:$L$687,'Cálculos auxiliares'!J$55,FALSE)),"")</f>
        <v>38762</v>
      </c>
      <c r="K64" s="181">
        <f>IFERROR(VLOOKUP($D64,'Planes y paquetes'!C660:L693,'Cálculos auxiliares'!K$55,FALSE),"")</f>
        <v>278815</v>
      </c>
      <c r="L64" s="182"/>
      <c r="M64" s="183"/>
    </row>
    <row r="65" spans="3:13" ht="12">
      <c r="C65" s="91">
        <f t="shared" si="4"/>
        <v>8</v>
      </c>
      <c r="D65" s="143" t="str">
        <v>Paquete 649</v>
      </c>
      <c r="F65" s="170" t="str">
        <f>VLOOKUP($D65,'Planes y paquetes'!$C$654:$L$687,2,FALSE)</f>
        <v>Residencial</v>
      </c>
      <c r="G65" s="170" t="str">
        <f>VLOOKUP($D65,'Planes y paquetes'!$C$654:$L$687,3,FALSE)</f>
        <v>Telefonía fija + Internet fijo</v>
      </c>
      <c r="H65" s="170">
        <f>IFERROR(VLOOKUP($D65,'Planes y paquetes'!$C$384:$BW$417,69,FALSE),"")</f>
        <v>300</v>
      </c>
      <c r="I65" s="184">
        <f>IFERROR(VLOOKUP($D65,'Planes y paquetes'!$C$384:$BW$417,70,FALSE),"")</f>
        <v>50</v>
      </c>
      <c r="J65" s="180">
        <f>IFERROR(SUM(VLOOKUP($D65,'Planes y paquetes'!$C$654:$L$687,'Cálculos auxiliares'!L$55,FALSE),VLOOKUP($D65,'Planes y paquetes'!$C$654:$L$687,'Cálculos auxiliares'!J$55,FALSE)),"")</f>
        <v>46</v>
      </c>
      <c r="K65" s="181">
        <f>IFERROR(VLOOKUP($D65,'Planes y paquetes'!C661:L694,'Cálculos auxiliares'!K$55,FALSE),"")</f>
        <v>170664</v>
      </c>
      <c r="L65" s="182"/>
      <c r="M65" s="183"/>
    </row>
    <row r="66" spans="3:13" ht="12">
      <c r="C66" s="91">
        <f t="shared" si="4"/>
        <v>9</v>
      </c>
      <c r="D66" s="143" t="str">
        <v>Paquete Infinitum 999</v>
      </c>
      <c r="F66" s="170" t="str">
        <f>VLOOKUP($D66,'Planes y paquetes'!$C$654:$L$687,2,FALSE)</f>
        <v>Residencial</v>
      </c>
      <c r="G66" s="170" t="str">
        <f>VLOOKUP($D66,'Planes y paquetes'!$C$654:$L$687,3,FALSE)</f>
        <v>Telefonía fija + Internet fijo</v>
      </c>
      <c r="H66" s="170">
        <f>IFERROR(VLOOKUP($D66,'Planes y paquetes'!$C$384:$BW$417,69,FALSE),"")</f>
        <v>750</v>
      </c>
      <c r="I66" s="184">
        <f>IFERROR(VLOOKUP($D66,'Planes y paquetes'!$C$384:$BW$417,70,FALSE),"")</f>
        <v>300</v>
      </c>
      <c r="J66" s="180">
        <f>IFERROR(SUM(VLOOKUP($D66,'Planes y paquetes'!$C$654:$L$687,'Cálculos auxiliares'!L$55,FALSE),VLOOKUP($D66,'Planes y paquetes'!$C$654:$L$687,'Cálculos auxiliares'!J$55,FALSE)),"")</f>
        <v>252</v>
      </c>
      <c r="K66" s="181">
        <f>IFERROR(VLOOKUP($D66,'Planes y paquetes'!C662:L695,'Cálculos auxiliares'!K$55,FALSE),"")</f>
        <v>46896</v>
      </c>
      <c r="L66" s="182"/>
      <c r="M66" s="183"/>
    </row>
    <row r="67" spans="3:13" ht="12">
      <c r="C67" s="91">
        <f t="shared" si="4"/>
        <v>10</v>
      </c>
      <c r="D67" s="143" t="str">
        <v>Paquete 1399</v>
      </c>
      <c r="F67" s="170" t="str">
        <f>VLOOKUP($D67,'Planes y paquetes'!$C$654:$L$687,2,FALSE)</f>
        <v>Residencial</v>
      </c>
      <c r="G67" s="170" t="str">
        <f>VLOOKUP($D67,'Planes y paquetes'!$C$654:$L$687,3,FALSE)</f>
        <v>Telefonía fija + Internet fijo</v>
      </c>
      <c r="H67" s="170">
        <f>IFERROR(VLOOKUP($D67,'Planes y paquetes'!$C$384:$BW$417,69,FALSE),"")</f>
        <v>1000</v>
      </c>
      <c r="I67" s="184">
        <f>IFERROR(VLOOKUP($D67,'Planes y paquetes'!$C$384:$BW$417,70,FALSE),"")</f>
        <v>300</v>
      </c>
      <c r="J67" s="180">
        <f>IFERROR(SUM(VLOOKUP($D67,'Planes y paquetes'!$C$654:$L$687,'Cálculos auxiliares'!L$55,FALSE),VLOOKUP($D67,'Planes y paquetes'!$C$654:$L$687,'Cálculos auxiliares'!J$55,FALSE)),"")</f>
        <v>525</v>
      </c>
      <c r="K67" s="181">
        <f>IFERROR(VLOOKUP($D67,'Planes y paquetes'!C663:L696,'Cálculos auxiliares'!K$55,FALSE),"")</f>
        <v>11581</v>
      </c>
      <c r="L67" s="182"/>
      <c r="M67" s="183"/>
    </row>
    <row r="68" spans="3:13" ht="12">
      <c r="C68" s="91">
        <f t="shared" si="4"/>
        <v>11</v>
      </c>
      <c r="D68" s="143" t="str">
        <v>Infinitum 279</v>
      </c>
      <c r="F68" s="170" t="str">
        <f>VLOOKUP($D68,'Planes y paquetes'!$C$654:$L$687,2,FALSE)</f>
        <v>Residencial</v>
      </c>
      <c r="G68" s="170" t="str">
        <f>VLOOKUP($D68,'Planes y paquetes'!$C$654:$L$687,3,FALSE)</f>
        <v>Internet fijo</v>
      </c>
      <c r="H68" s="170">
        <f>IFERROR(VLOOKUP($D68,'Planes y paquetes'!$C$384:$BW$417,69,FALSE),"")</f>
        <v>30</v>
      </c>
      <c r="I68" s="184">
        <f>IFERROR(VLOOKUP($D68,'Planes y paquetes'!$C$384:$BW$417,70,FALSE),"")</f>
        <v>5</v>
      </c>
      <c r="J68" s="180">
        <f>IFERROR(SUM(VLOOKUP($D68,'Planes y paquetes'!$C$654:$L$687,'Cálculos auxiliares'!L$55,FALSE),VLOOKUP($D68,'Planes y paquetes'!$C$654:$L$687,'Cálculos auxiliares'!J$55,FALSE)),"")</f>
        <v>6011</v>
      </c>
      <c r="K68" s="181">
        <f>IFERROR(VLOOKUP($D68,'Planes y paquetes'!C664:L697,'Cálculos auxiliares'!K$55,FALSE),"")</f>
        <v>20985</v>
      </c>
      <c r="L68" s="182"/>
      <c r="M68" s="183"/>
    </row>
    <row r="69" spans="3:13" ht="12">
      <c r="C69" s="91">
        <f t="shared" si="4"/>
        <v>12</v>
      </c>
      <c r="D69" s="143" t="str">
        <v>Infinitum 299 R</v>
      </c>
      <c r="F69" s="170" t="str">
        <f>VLOOKUP($D69,'Planes y paquetes'!$C$654:$L$687,2,FALSE)</f>
        <v>Residencial</v>
      </c>
      <c r="G69" s="170" t="str">
        <f>VLOOKUP($D69,'Planes y paquetes'!$C$654:$L$687,3,FALSE)</f>
        <v>Internet fijo</v>
      </c>
      <c r="H69" s="170">
        <f>IFERROR(VLOOKUP($D69,'Planes y paquetes'!$C$384:$BW$417,69,FALSE),"")</f>
        <v>40</v>
      </c>
      <c r="I69" s="184">
        <f>IFERROR(VLOOKUP($D69,'Planes y paquetes'!$C$384:$BW$417,70,FALSE),"")</f>
        <v>5</v>
      </c>
      <c r="J69" s="180">
        <f>IFERROR(SUM(VLOOKUP($D69,'Planes y paquetes'!$C$654:$L$687,'Cálculos auxiliares'!L$55,FALSE),VLOOKUP($D69,'Planes y paquetes'!$C$654:$L$687,'Cálculos auxiliares'!J$55,FALSE)),"")</f>
        <v>58</v>
      </c>
      <c r="K69" s="181">
        <f>IFERROR(VLOOKUP($D69,'Planes y paquetes'!C665:L698,'Cálculos auxiliares'!K$55,FALSE),"")</f>
        <v>250</v>
      </c>
      <c r="L69" s="182"/>
      <c r="M69" s="183"/>
    </row>
    <row r="70" spans="3:13" ht="12">
      <c r="C70" s="91">
        <f t="shared" si="4"/>
        <v>13</v>
      </c>
      <c r="D70" s="143" t="str">
        <v>Infinitum 349</v>
      </c>
      <c r="F70" s="170" t="str">
        <f>VLOOKUP($D70,'Planes y paquetes'!$C$654:$L$687,2,FALSE)</f>
        <v>Residencial</v>
      </c>
      <c r="G70" s="170" t="str">
        <f>VLOOKUP($D70,'Planes y paquetes'!$C$654:$L$687,3,FALSE)</f>
        <v>Internet fijo</v>
      </c>
      <c r="H70" s="170">
        <f>IFERROR(VLOOKUP($D70,'Planes y paquetes'!$C$384:$BW$417,69,FALSE),"")</f>
        <v>60</v>
      </c>
      <c r="I70" s="184">
        <f>IFERROR(VLOOKUP($D70,'Planes y paquetes'!$C$384:$BW$417,70,FALSE),"")</f>
        <v>10</v>
      </c>
      <c r="J70" s="180">
        <f>IFERROR(SUM(VLOOKUP($D70,'Planes y paquetes'!$C$654:$L$687,'Cálculos auxiliares'!L$55,FALSE),VLOOKUP($D70,'Planes y paquetes'!$C$654:$L$687,'Cálculos auxiliares'!J$55,FALSE)),"")</f>
        <v>342126</v>
      </c>
      <c r="K70" s="181">
        <f>IFERROR(VLOOKUP($D70,'Planes y paquetes'!C666:L699,'Cálculos auxiliares'!K$55,FALSE),"")</f>
        <v>1819605</v>
      </c>
      <c r="L70" s="182"/>
      <c r="M70" s="183"/>
    </row>
    <row r="71" spans="3:13" ht="12">
      <c r="C71" s="91">
        <f t="shared" si="4"/>
        <v>14</v>
      </c>
      <c r="D71" s="143" t="str">
        <v>Infinitum 399</v>
      </c>
      <c r="F71" s="170" t="str">
        <f>VLOOKUP($D71,'Planes y paquetes'!$C$654:$L$687,2,FALSE)</f>
        <v>Residencial</v>
      </c>
      <c r="G71" s="170" t="str">
        <f>VLOOKUP($D71,'Planes y paquetes'!$C$654:$L$687,3,FALSE)</f>
        <v>Internet fijo</v>
      </c>
      <c r="H71" s="170">
        <f>IFERROR(VLOOKUP($D71,'Planes y paquetes'!$C$384:$BW$417,69,FALSE),"")</f>
        <v>80</v>
      </c>
      <c r="I71" s="184">
        <f>IFERROR(VLOOKUP($D71,'Planes y paquetes'!$C$384:$BW$417,70,FALSE),"")</f>
        <v>20</v>
      </c>
      <c r="J71" s="180">
        <f>IFERROR(SUM(VLOOKUP($D71,'Planes y paquetes'!$C$654:$L$687,'Cálculos auxiliares'!L$55,FALSE),VLOOKUP($D71,'Planes y paquetes'!$C$654:$L$687,'Cálculos auxiliares'!J$55,FALSE)),"")</f>
        <v>11242</v>
      </c>
      <c r="K71" s="181">
        <f>IFERROR(VLOOKUP($D71,'Planes y paquetes'!C667:L700,'Cálculos auxiliares'!K$55,FALSE),"")</f>
        <v>166558</v>
      </c>
      <c r="L71" s="182"/>
      <c r="M71" s="183"/>
    </row>
    <row r="72" spans="3:13" ht="12">
      <c r="C72" s="91">
        <f t="shared" si="4"/>
        <v>15</v>
      </c>
      <c r="D72" s="143" t="str">
        <v>Infinitum 449</v>
      </c>
      <c r="F72" s="170" t="str">
        <f>VLOOKUP($D72,'Planes y paquetes'!$C$654:$L$687,2,FALSE)</f>
        <v>Residencial</v>
      </c>
      <c r="G72" s="170" t="str">
        <f>VLOOKUP($D72,'Planes y paquetes'!$C$654:$L$687,3,FALSE)</f>
        <v>Internet fijo</v>
      </c>
      <c r="H72" s="170">
        <f>IFERROR(VLOOKUP($D72,'Planes y paquetes'!$C$384:$BW$417,69,FALSE),"")</f>
        <v>100</v>
      </c>
      <c r="I72" s="184">
        <f>IFERROR(VLOOKUP($D72,'Planes y paquetes'!$C$384:$BW$417,70,FALSE),"")</f>
        <v>20</v>
      </c>
      <c r="J72" s="180">
        <f>IFERROR(SUM(VLOOKUP($D72,'Planes y paquetes'!$C$654:$L$687,'Cálculos auxiliares'!L$55,FALSE),VLOOKUP($D72,'Planes y paquetes'!$C$654:$L$687,'Cálculos auxiliares'!J$55,FALSE)),"")</f>
        <v>173</v>
      </c>
      <c r="K72" s="181">
        <f>IFERROR(VLOOKUP($D72,'Planes y paquetes'!C668:L701,'Cálculos auxiliares'!K$55,FALSE),"")</f>
        <v>121443</v>
      </c>
      <c r="L72" s="182"/>
      <c r="M72" s="183"/>
    </row>
    <row r="73" spans="3:13" ht="12">
      <c r="C73" s="91">
        <f t="shared" si="4"/>
        <v>16</v>
      </c>
      <c r="D73" s="143" t="str">
        <v>Infinitum 549</v>
      </c>
      <c r="F73" s="170" t="str">
        <f>VLOOKUP($D73,'Planes y paquetes'!$C$654:$L$687,2,FALSE)</f>
        <v>Residencial</v>
      </c>
      <c r="G73" s="170" t="str">
        <f>VLOOKUP($D73,'Planes y paquetes'!$C$654:$L$687,3,FALSE)</f>
        <v>Internet fijo</v>
      </c>
      <c r="H73" s="170">
        <f>IFERROR(VLOOKUP($D73,'Planes y paquetes'!$C$384:$BW$417,69,FALSE),"")</f>
        <v>300</v>
      </c>
      <c r="I73" s="184">
        <f>IFERROR(VLOOKUP($D73,'Planes y paquetes'!$C$384:$BW$417,70,FALSE),"")</f>
        <v>50</v>
      </c>
      <c r="J73" s="180">
        <f>IFERROR(SUM(VLOOKUP($D73,'Planes y paquetes'!$C$654:$L$687,'Cálculos auxiliares'!L$55,FALSE),VLOOKUP($D73,'Planes y paquetes'!$C$654:$L$687,'Cálculos auxiliares'!J$55,FALSE)),"")</f>
        <v>506</v>
      </c>
      <c r="K73" s="181">
        <f>IFERROR(VLOOKUP($D73,'Planes y paquetes'!C669:L702,'Cálculos auxiliares'!K$55,FALSE),"")</f>
        <v>192551</v>
      </c>
      <c r="L73" s="182"/>
      <c r="M73" s="183"/>
    </row>
    <row r="74" spans="3:13" ht="12">
      <c r="C74" s="91">
        <f t="shared" si="4"/>
        <v>17</v>
      </c>
      <c r="D74" s="143" t="str">
        <v>Infinitum 899</v>
      </c>
      <c r="F74" s="170" t="str">
        <f>VLOOKUP($D74,'Planes y paquetes'!$C$654:$L$687,2,FALSE)</f>
        <v>Residencial</v>
      </c>
      <c r="G74" s="170" t="str">
        <f>VLOOKUP($D74,'Planes y paquetes'!$C$654:$L$687,3,FALSE)</f>
        <v>Internet fijo</v>
      </c>
      <c r="H74" s="170">
        <f>IFERROR(VLOOKUP($D74,'Planes y paquetes'!$C$384:$BW$417,69,FALSE),"")</f>
        <v>750</v>
      </c>
      <c r="I74" s="184">
        <f>IFERROR(VLOOKUP($D74,'Planes y paquetes'!$C$384:$BW$417,70,FALSE),"")</f>
        <v>300</v>
      </c>
      <c r="J74" s="180">
        <f>IFERROR(SUM(VLOOKUP($D74,'Planes y paquetes'!$C$654:$L$687,'Cálculos auxiliares'!L$55,FALSE),VLOOKUP($D74,'Planes y paquetes'!$C$654:$L$687,'Cálculos auxiliares'!J$55,FALSE)),"")</f>
        <v>13</v>
      </c>
      <c r="K74" s="181">
        <f>IFERROR(VLOOKUP($D74,'Planes y paquetes'!C670:L703,'Cálculos auxiliares'!K$55,FALSE),"")</f>
        <v>21478</v>
      </c>
      <c r="L74" s="182"/>
      <c r="M74" s="183"/>
    </row>
    <row r="75" spans="3:13" ht="12">
      <c r="C75" s="91">
        <f t="shared" si="4"/>
        <v>18</v>
      </c>
      <c r="D75" s="143" t="str">
        <v>Paquete Conectes Negocio</v>
      </c>
      <c r="F75" s="170" t="str">
        <f>VLOOKUP($D75,'Planes y paquetes'!$C$654:$L$687,2,FALSE)</f>
        <v>No Residencial</v>
      </c>
      <c r="G75" s="170" t="str">
        <f>VLOOKUP($D75,'Planes y paquetes'!$C$654:$L$687,3,FALSE)</f>
        <v>Telefonía fija + Internet fijo</v>
      </c>
      <c r="H75" s="170">
        <f>IFERROR(VLOOKUP($D75,'Planes y paquetes'!$C$384:$BW$417,69,FALSE),"")</f>
        <v>60</v>
      </c>
      <c r="I75" s="184">
        <f>IFERROR(VLOOKUP($D75,'Planes y paquetes'!$C$384:$BW$417,70,FALSE),"")</f>
        <v>10</v>
      </c>
      <c r="J75" s="180">
        <f>IFERROR(SUM(VLOOKUP($D75,'Planes y paquetes'!$C$654:$L$687,'Cálculos auxiliares'!L$55,FALSE),VLOOKUP($D75,'Planes y paquetes'!$C$654:$L$687,'Cálculos auxiliares'!J$55,FALSE)),"")</f>
        <v>121488</v>
      </c>
      <c r="K75" s="181">
        <f>IFERROR(VLOOKUP($D75,'Planes y paquetes'!C671:L704,'Cálculos auxiliares'!K$55,FALSE),"")</f>
        <v>601402</v>
      </c>
      <c r="L75" s="182"/>
      <c r="M75" s="183"/>
    </row>
    <row r="76" spans="3:13" ht="12">
      <c r="C76" s="91">
        <f t="shared" si="4"/>
        <v>19</v>
      </c>
      <c r="D76" s="143" t="str">
        <v>Paquete Mi Negocio</v>
      </c>
      <c r="F76" s="170" t="str">
        <f>VLOOKUP($D76,'Planes y paquetes'!$C$654:$L$687,2,FALSE)</f>
        <v>No Residencial</v>
      </c>
      <c r="G76" s="170" t="str">
        <f>VLOOKUP($D76,'Planes y paquetes'!$C$654:$L$687,3,FALSE)</f>
        <v>Telefonía fija + Internet fijo</v>
      </c>
      <c r="H76" s="170">
        <f>IFERROR(VLOOKUP($D76,'Planes y paquetes'!$C$384:$BW$417,69,FALSE),"")</f>
        <v>100</v>
      </c>
      <c r="I76" s="184">
        <f>IFERROR(VLOOKUP($D76,'Planes y paquetes'!$C$384:$BW$417,70,FALSE),"")</f>
        <v>10</v>
      </c>
      <c r="J76" s="180">
        <f>IFERROR(SUM(VLOOKUP($D76,'Planes y paquetes'!$C$654:$L$687,'Cálculos auxiliares'!L$55,FALSE),VLOOKUP($D76,'Planes y paquetes'!$C$654:$L$687,'Cálculos auxiliares'!J$55,FALSE)),"")</f>
        <v>63050</v>
      </c>
      <c r="K76" s="181">
        <f>IFERROR(VLOOKUP($D76,'Planes y paquetes'!C672:L705,'Cálculos auxiliares'!K$55,FALSE),"")</f>
        <v>302842</v>
      </c>
      <c r="L76" s="182"/>
      <c r="M76" s="183"/>
    </row>
    <row r="77" spans="3:13" ht="12">
      <c r="C77" s="91">
        <f t="shared" si="4"/>
        <v>20</v>
      </c>
      <c r="D77" s="143" t="str">
        <v>Paquete Negocio 649</v>
      </c>
      <c r="F77" s="170" t="str">
        <f>VLOOKUP($D77,'Planes y paquetes'!$C$654:$L$687,2,FALSE)</f>
        <v>No Residencial</v>
      </c>
      <c r="G77" s="170" t="str">
        <f>VLOOKUP($D77,'Planes y paquetes'!$C$654:$L$687,3,FALSE)</f>
        <v>Telefonía fija + Internet fijo</v>
      </c>
      <c r="H77" s="170">
        <f>IFERROR(VLOOKUP($D77,'Planes y paquetes'!$C$384:$BW$417,69,FALSE),"")</f>
        <v>200</v>
      </c>
      <c r="I77" s="184">
        <f>IFERROR(VLOOKUP($D77,'Planes y paquetes'!$C$384:$BW$417,70,FALSE),"")</f>
        <v>50</v>
      </c>
      <c r="J77" s="180">
        <f>IFERROR(SUM(VLOOKUP($D77,'Planes y paquetes'!$C$654:$L$687,'Cálculos auxiliares'!L$55,FALSE),VLOOKUP($D77,'Planes y paquetes'!$C$654:$L$687,'Cálculos auxiliares'!J$55,FALSE)),"")</f>
        <v>175</v>
      </c>
      <c r="K77" s="181">
        <f>IFERROR(VLOOKUP($D77,'Planes y paquetes'!C673:L706,'Cálculos auxiliares'!K$55,FALSE),"")</f>
        <v>8215</v>
      </c>
      <c r="L77" s="182"/>
      <c r="M77" s="183"/>
    </row>
    <row r="78" spans="3:13" ht="12">
      <c r="C78" s="91">
        <f t="shared" si="4"/>
        <v>21</v>
      </c>
      <c r="D78" s="143" t="str">
        <v>Paquete Supernegocio</v>
      </c>
      <c r="F78" s="170" t="str">
        <f>VLOOKUP($D78,'Planes y paquetes'!$C$654:$L$687,2,FALSE)</f>
        <v>No Residencial</v>
      </c>
      <c r="G78" s="170" t="str">
        <f>VLOOKUP($D78,'Planes y paquetes'!$C$654:$L$687,3,FALSE)</f>
        <v>Telefonía fija + Internet fijo</v>
      </c>
      <c r="H78" s="170">
        <f>IFERROR(VLOOKUP($D78,'Planes y paquetes'!$C$384:$BW$417,69,FALSE),"")</f>
        <v>300</v>
      </c>
      <c r="I78" s="184">
        <f>IFERROR(VLOOKUP($D78,'Planes y paquetes'!$C$384:$BW$417,70,FALSE),"")</f>
        <v>50</v>
      </c>
      <c r="J78" s="180">
        <f>IFERROR(SUM(VLOOKUP($D78,'Planes y paquetes'!$C$654:$L$687,'Cálculos auxiliares'!L$55,FALSE),VLOOKUP($D78,'Planes y paquetes'!$C$654:$L$687,'Cálculos auxiliares'!J$55,FALSE)),"")</f>
        <v>28112</v>
      </c>
      <c r="K78" s="181">
        <f>IFERROR(VLOOKUP($D78,'Planes y paquetes'!C674:L707,'Cálculos auxiliares'!K$55,FALSE),"")</f>
        <v>179919</v>
      </c>
      <c r="L78" s="182"/>
      <c r="M78" s="183"/>
    </row>
    <row r="79" spans="3:13" ht="12">
      <c r="C79" s="91">
        <f t="shared" si="4"/>
        <v>22</v>
      </c>
      <c r="D79" s="143" t="str">
        <v>Paquete Negocio 999</v>
      </c>
      <c r="F79" s="170" t="str">
        <f>VLOOKUP($D79,'Planes y paquetes'!$C$654:$L$687,2,FALSE)</f>
        <v>No Residencial</v>
      </c>
      <c r="G79" s="170" t="str">
        <f>VLOOKUP($D79,'Planes y paquetes'!$C$654:$L$687,3,FALSE)</f>
        <v>Telefonía fija + Internet fijo</v>
      </c>
      <c r="H79" s="170">
        <f>IFERROR(VLOOKUP($D79,'Planes y paquetes'!$C$384:$BW$417,69,FALSE),"")</f>
        <v>500</v>
      </c>
      <c r="I79" s="184">
        <f>IFERROR(VLOOKUP($D79,'Planes y paquetes'!$C$384:$BW$417,70,FALSE),"")</f>
        <v>300</v>
      </c>
      <c r="J79" s="180">
        <f>IFERROR(SUM(VLOOKUP($D79,'Planes y paquetes'!$C$654:$L$687,'Cálculos auxiliares'!L$55,FALSE),VLOOKUP($D79,'Planes y paquetes'!$C$654:$L$687,'Cálculos auxiliares'!J$55,FALSE)),"")</f>
        <v>55</v>
      </c>
      <c r="K79" s="181">
        <f>IFERROR(VLOOKUP($D79,'Planes y paquetes'!C675:L708,'Cálculos auxiliares'!K$55,FALSE),"")</f>
        <v>3941</v>
      </c>
      <c r="L79" s="182"/>
      <c r="M79" s="183"/>
    </row>
    <row r="80" spans="3:13" ht="12">
      <c r="C80" s="91">
        <f t="shared" si="4"/>
        <v>23</v>
      </c>
      <c r="D80" s="143" t="str">
        <v>Paquete Telmex Negocio Ilimitado 1</v>
      </c>
      <c r="F80" s="170" t="str">
        <f>VLOOKUP($D80,'Planes y paquetes'!$C$654:$L$687,2,FALSE)</f>
        <v>No Residencial</v>
      </c>
      <c r="G80" s="170" t="str">
        <f>VLOOKUP($D80,'Planes y paquetes'!$C$654:$L$687,3,FALSE)</f>
        <v>Telefonía fija + Internet fijo</v>
      </c>
      <c r="H80" s="170">
        <f>IFERROR(VLOOKUP($D80,'Planes y paquetes'!$C$384:$BW$417,69,FALSE),"")</f>
        <v>750</v>
      </c>
      <c r="I80" s="184">
        <f>IFERROR(VLOOKUP($D80,'Planes y paquetes'!$C$384:$BW$417,70,FALSE),"")</f>
        <v>300</v>
      </c>
      <c r="J80" s="180">
        <f>IFERROR(SUM(VLOOKUP($D80,'Planes y paquetes'!$C$654:$L$687,'Cálculos auxiliares'!L$55,FALSE),VLOOKUP($D80,'Planes y paquetes'!$C$654:$L$687,'Cálculos auxiliares'!J$55,FALSE)),"")</f>
        <v>13</v>
      </c>
      <c r="K80" s="181">
        <f>IFERROR(VLOOKUP($D80,'Planes y paquetes'!C676:L709,'Cálculos auxiliares'!K$55,FALSE),"")</f>
        <v>70</v>
      </c>
      <c r="L80" s="182"/>
      <c r="M80" s="183"/>
    </row>
    <row r="81" spans="3:13" ht="12">
      <c r="C81" s="91">
        <f t="shared" si="4"/>
        <v>24</v>
      </c>
      <c r="D81" s="143" t="str">
        <v>Paquete Telmex Negocio Ilimitado 2</v>
      </c>
      <c r="F81" s="170" t="str">
        <f>VLOOKUP($D81,'Planes y paquetes'!$C$654:$L$687,2,FALSE)</f>
        <v>No Residencial</v>
      </c>
      <c r="G81" s="170" t="str">
        <f>VLOOKUP($D81,'Planes y paquetes'!$C$654:$L$687,3,FALSE)</f>
        <v>Telefonía fija + Internet fijo</v>
      </c>
      <c r="H81" s="170">
        <f>IFERROR(VLOOKUP($D81,'Planes y paquetes'!$C$384:$BW$417,69,FALSE),"")</f>
        <v>750</v>
      </c>
      <c r="I81" s="184">
        <f>IFERROR(VLOOKUP($D81,'Planes y paquetes'!$C$384:$BW$417,70,FALSE),"")</f>
        <v>300</v>
      </c>
      <c r="J81" s="180">
        <f>IFERROR(SUM(VLOOKUP($D81,'Planes y paquetes'!$C$654:$L$687,'Cálculos auxiliares'!L$55,FALSE),VLOOKUP($D81,'Planes y paquetes'!$C$654:$L$687,'Cálculos auxiliares'!J$55,FALSE)),"")</f>
        <v>3</v>
      </c>
      <c r="K81" s="181">
        <f>IFERROR(VLOOKUP($D81,'Planes y paquetes'!C677:L710,'Cálculos auxiliares'!K$55,FALSE),"")</f>
        <v>36</v>
      </c>
      <c r="L81" s="182"/>
      <c r="M81" s="183"/>
    </row>
    <row r="82" spans="3:13" ht="12">
      <c r="C82" s="91">
        <f t="shared" si="4"/>
        <v>25</v>
      </c>
      <c r="D82" s="143" t="str">
        <v>Paquete Telmex Negocio Ilimitado 3</v>
      </c>
      <c r="F82" s="170" t="str">
        <f>VLOOKUP($D82,'Planes y paquetes'!$C$654:$L$687,2,FALSE)</f>
        <v>No Residencial</v>
      </c>
      <c r="G82" s="170" t="str">
        <f>VLOOKUP($D82,'Planes y paquetes'!$C$654:$L$687,3,FALSE)</f>
        <v>Telefonía fija + Internet fijo</v>
      </c>
      <c r="H82" s="170">
        <f>IFERROR(VLOOKUP($D82,'Planes y paquetes'!$C$384:$BW$417,69,FALSE),"")</f>
        <v>1000</v>
      </c>
      <c r="I82" s="184">
        <f>IFERROR(VLOOKUP($D82,'Planes y paquetes'!$C$384:$BW$417,70,FALSE),"")</f>
        <v>300</v>
      </c>
      <c r="J82" s="180">
        <f>IFERROR(SUM(VLOOKUP($D82,'Planes y paquetes'!$C$654:$L$687,'Cálculos auxiliares'!L$55,FALSE),VLOOKUP($D82,'Planes y paquetes'!$C$654:$L$687,'Cálculos auxiliares'!J$55,FALSE)),"")</f>
        <v>2</v>
      </c>
      <c r="K82" s="181">
        <f>IFERROR(VLOOKUP($D82,'Planes y paquetes'!C678:L711,'Cálculos auxiliares'!K$55,FALSE),"")</f>
        <v>17</v>
      </c>
      <c r="L82" s="182"/>
      <c r="M82" s="183"/>
    </row>
    <row r="83" spans="3:13" ht="12">
      <c r="C83" s="91">
        <f t="shared" si="4"/>
        <v>26</v>
      </c>
      <c r="D83" s="143" t="str">
        <v>Infinitum 299 N</v>
      </c>
      <c r="F83" s="170" t="str">
        <f>VLOOKUP($D83,'Planes y paquetes'!$C$654:$L$687,2,FALSE)</f>
        <v>No Residencial</v>
      </c>
      <c r="G83" s="170" t="str">
        <f>VLOOKUP($D83,'Planes y paquetes'!$C$654:$L$687,3,FALSE)</f>
        <v>Internet fijo</v>
      </c>
      <c r="H83" s="170">
        <f>IFERROR(VLOOKUP($D83,'Planes y paquetes'!$C$384:$BW$417,69,FALSE),"")</f>
        <v>40</v>
      </c>
      <c r="I83" s="184">
        <f>IFERROR(VLOOKUP($D83,'Planes y paquetes'!$C$384:$BW$417,70,FALSE),"")</f>
        <v>5</v>
      </c>
      <c r="J83" s="180">
        <f>IFERROR(SUM(VLOOKUP($D83,'Planes y paquetes'!$C$654:$L$687,'Cálculos auxiliares'!L$55,FALSE),VLOOKUP($D83,'Planes y paquetes'!$C$654:$L$687,'Cálculos auxiliares'!J$55,FALSE)),"")</f>
        <v>72</v>
      </c>
      <c r="K83" s="181">
        <f>IFERROR(VLOOKUP($D83,'Planes y paquetes'!C679:L712,'Cálculos auxiliares'!K$55,FALSE),"")</f>
        <v>134</v>
      </c>
      <c r="L83" s="182"/>
      <c r="M83" s="183"/>
    </row>
    <row r="84" spans="3:13" ht="12">
      <c r="C84" s="91">
        <f t="shared" si="4"/>
        <v>27</v>
      </c>
      <c r="D84" s="143" t="str">
        <v>Infinitum Negocio 349</v>
      </c>
      <c r="F84" s="170" t="str">
        <f>VLOOKUP($D84,'Planes y paquetes'!$C$654:$L$687,2,FALSE)</f>
        <v>No Residencial</v>
      </c>
      <c r="G84" s="170" t="str">
        <f>VLOOKUP($D84,'Planes y paquetes'!$C$654:$L$687,3,FALSE)</f>
        <v>Internet fijo</v>
      </c>
      <c r="H84" s="170">
        <f>IFERROR(VLOOKUP($D84,'Planes y paquetes'!$C$384:$BW$417,69,FALSE),"")</f>
        <v>60</v>
      </c>
      <c r="I84" s="184">
        <f>IFERROR(VLOOKUP($D84,'Planes y paquetes'!$C$384:$BW$417,70,FALSE),"")</f>
        <v>10</v>
      </c>
      <c r="J84" s="180">
        <f>IFERROR(SUM(VLOOKUP($D84,'Planes y paquetes'!$C$654:$L$687,'Cálculos auxiliares'!L$55,FALSE),VLOOKUP($D84,'Planes y paquetes'!$C$654:$L$687,'Cálculos auxiliares'!J$55,FALSE)),"")</f>
        <v>19310</v>
      </c>
      <c r="K84" s="181">
        <f>IFERROR(VLOOKUP($D84,'Planes y paquetes'!C680:L713,'Cálculos auxiliares'!K$55,FALSE),"")</f>
        <v>92142</v>
      </c>
      <c r="L84" s="182"/>
      <c r="M84" s="183"/>
    </row>
    <row r="85" spans="3:13" ht="12">
      <c r="C85" s="91">
        <f t="shared" si="4"/>
        <v>28</v>
      </c>
      <c r="D85" s="143" t="str">
        <v>Infinitum Negocio 399</v>
      </c>
      <c r="F85" s="170" t="str">
        <f>VLOOKUP($D85,'Planes y paquetes'!$C$654:$L$687,2,FALSE)</f>
        <v>No Residencial</v>
      </c>
      <c r="G85" s="170" t="str">
        <f>VLOOKUP($D85,'Planes y paquetes'!$C$654:$L$687,3,FALSE)</f>
        <v>Internet fijo</v>
      </c>
      <c r="H85" s="170">
        <f>IFERROR(VLOOKUP($D85,'Planes y paquetes'!$C$384:$BW$417,69,FALSE),"")</f>
        <v>80</v>
      </c>
      <c r="I85" s="184">
        <f>IFERROR(VLOOKUP($D85,'Planes y paquetes'!$C$384:$BW$417,70,FALSE),"")</f>
        <v>20</v>
      </c>
      <c r="J85" s="180">
        <f>IFERROR(SUM(VLOOKUP($D85,'Planes y paquetes'!$C$654:$L$687,'Cálculos auxiliares'!L$55,FALSE),VLOOKUP($D85,'Planes y paquetes'!$C$654:$L$687,'Cálculos auxiliares'!J$55,FALSE)),"")</f>
        <v>3085</v>
      </c>
      <c r="K85" s="181">
        <f>IFERROR(VLOOKUP($D85,'Planes y paquetes'!C681:L714,'Cálculos auxiliares'!K$55,FALSE),"")</f>
        <v>26933</v>
      </c>
      <c r="L85" s="182"/>
      <c r="M85" s="183"/>
    </row>
    <row r="86" spans="3:13" ht="12">
      <c r="C86" s="91">
        <f t="shared" si="4"/>
        <v>29</v>
      </c>
      <c r="D86" s="143" t="str">
        <v>Infinitum Negocio 449</v>
      </c>
      <c r="F86" s="170" t="str">
        <f>VLOOKUP($D86,'Planes y paquetes'!$C$654:$L$687,2,FALSE)</f>
        <v>No Residencial</v>
      </c>
      <c r="G86" s="170" t="str">
        <f>VLOOKUP($D86,'Planes y paquetes'!$C$654:$L$687,3,FALSE)</f>
        <v>Internet fijo</v>
      </c>
      <c r="H86" s="170">
        <f>IFERROR(VLOOKUP($D86,'Planes y paquetes'!$C$384:$BW$417,69,FALSE),"")</f>
        <v>100</v>
      </c>
      <c r="I86" s="184">
        <f>IFERROR(VLOOKUP($D86,'Planes y paquetes'!$C$384:$BW$417,70,FALSE),"")</f>
        <v>20</v>
      </c>
      <c r="J86" s="180">
        <f>IFERROR(SUM(VLOOKUP($D86,'Planes y paquetes'!$C$654:$L$687,'Cálculos auxiliares'!L$55,FALSE),VLOOKUP($D86,'Planes y paquetes'!$C$654:$L$687,'Cálculos auxiliares'!J$55,FALSE)),"")</f>
        <v>9</v>
      </c>
      <c r="K86" s="181">
        <f>IFERROR(VLOOKUP($D86,'Planes y paquetes'!C682:L715,'Cálculos auxiliares'!K$55,FALSE),"")</f>
        <v>13400</v>
      </c>
      <c r="L86" s="182"/>
      <c r="M86" s="183"/>
    </row>
    <row r="87" spans="3:13" ht="12">
      <c r="C87" s="91">
        <f t="shared" si="4"/>
        <v>30</v>
      </c>
      <c r="D87" s="143" t="str">
        <v>Infinitum Negocio 549</v>
      </c>
      <c r="F87" s="170" t="str">
        <f>VLOOKUP($D87,'Planes y paquetes'!$C$654:$L$687,2,FALSE)</f>
        <v>No Residencial</v>
      </c>
      <c r="G87" s="170" t="str">
        <f>VLOOKUP($D87,'Planes y paquetes'!$C$654:$L$687,3,FALSE)</f>
        <v>Internet fijo</v>
      </c>
      <c r="H87" s="170">
        <f>IFERROR(VLOOKUP($D87,'Planes y paquetes'!$C$384:$BW$417,69,FALSE),"")</f>
        <v>200</v>
      </c>
      <c r="I87" s="184">
        <f>IFERROR(VLOOKUP($D87,'Planes y paquetes'!$C$384:$BW$417,70,FALSE),"")</f>
        <v>50</v>
      </c>
      <c r="J87" s="180">
        <f>IFERROR(SUM(VLOOKUP($D87,'Planes y paquetes'!$C$654:$L$687,'Cálculos auxiliares'!L$55,FALSE),VLOOKUP($D87,'Planes y paquetes'!$C$654:$L$687,'Cálculos auxiliares'!J$55,FALSE)),"")</f>
        <v>125</v>
      </c>
      <c r="K87" s="181">
        <f>IFERROR(VLOOKUP($D87,'Planes y paquetes'!C683:L716,'Cálculos auxiliares'!K$55,FALSE),"")</f>
        <v>22564</v>
      </c>
      <c r="L87" s="182"/>
      <c r="M87" s="183"/>
    </row>
    <row r="88" spans="3:13" ht="12">
      <c r="C88" s="91">
        <f t="shared" si="4"/>
        <v>31</v>
      </c>
      <c r="D88" s="143" t="str">
        <v>Infinitum Negocio 899</v>
      </c>
      <c r="F88" s="170" t="str">
        <f>VLOOKUP($D88,'Planes y paquetes'!$C$654:$L$687,2,FALSE)</f>
        <v>No Residencial</v>
      </c>
      <c r="G88" s="170" t="str">
        <f>VLOOKUP($D88,'Planes y paquetes'!$C$654:$L$687,3,FALSE)</f>
        <v>Internet fijo</v>
      </c>
      <c r="H88" s="170">
        <f>IFERROR(VLOOKUP($D88,'Planes y paquetes'!$C$384:$BW$417,69,FALSE),"")</f>
        <v>750</v>
      </c>
      <c r="I88" s="184">
        <f>IFERROR(VLOOKUP($D88,'Planes y paquetes'!$C$384:$BW$417,70,FALSE),"")</f>
        <v>300</v>
      </c>
      <c r="J88" s="180">
        <f>IFERROR(SUM(VLOOKUP($D88,'Planes y paquetes'!$C$654:$L$687,'Cálculos auxiliares'!L$55,FALSE),VLOOKUP($D88,'Planes y paquetes'!$C$654:$L$687,'Cálculos auxiliares'!J$55,FALSE)),"")</f>
        <v>20</v>
      </c>
      <c r="K88" s="181">
        <f>IFERROR(VLOOKUP($D88,'Planes y paquetes'!C684:L717,'Cálculos auxiliares'!K$55,FALSE),"")</f>
        <v>7282</v>
      </c>
      <c r="L88" s="182"/>
      <c r="M88" s="183"/>
    </row>
    <row r="89" spans="3:13" ht="12">
      <c r="C89" s="91">
        <f t="shared" si="4"/>
        <v>32</v>
      </c>
      <c r="D89" s="143" t="str">
        <v>Infinitum Negocio</v>
      </c>
      <c r="F89" s="170" t="str">
        <f>VLOOKUP($D89,'Planes y paquetes'!$C$654:$L$687,2,FALSE)</f>
        <v>No Residencial</v>
      </c>
      <c r="G89" s="170" t="str">
        <f>VLOOKUP($D89,'Planes y paquetes'!$C$654:$L$687,3,FALSE)</f>
        <v>Telefonía fija + Internet fijo</v>
      </c>
      <c r="H89" s="170">
        <f>IFERROR(VLOOKUP($D89,'Planes y paquetes'!$C$384:$BW$417,69,FALSE),"")</f>
        <v>30</v>
      </c>
      <c r="I89" s="179">
        <f>IFERROR(VLOOKUP($D89,'Planes y paquetes'!$C$384:$BW$417,70,FALSE),"")</f>
        <v>0.76800000000000002</v>
      </c>
      <c r="J89" s="180">
        <f>IFERROR(SUM(VLOOKUP($D89,'Planes y paquetes'!$C$654:$L$687,'Cálculos auxiliares'!L$55,FALSE),VLOOKUP($D89,'Planes y paquetes'!$C$654:$L$687,'Cálculos auxiliares'!J$55,FALSE)),"")</f>
        <v>23903</v>
      </c>
      <c r="K89" s="181">
        <f>IFERROR(VLOOKUP($D89,'Planes y paquetes'!C685:L718,'Cálculos auxiliares'!K$55,FALSE),"")</f>
        <v>26507</v>
      </c>
      <c r="L89" s="182"/>
      <c r="M89" s="183"/>
    </row>
    <row r="90" spans="3:13" ht="12">
      <c r="C90" s="91">
        <f t="shared" si="4"/>
        <v>33</v>
      </c>
      <c r="D90" s="143" t="str">
        <v>Infinitum Negocio Red</v>
      </c>
      <c r="F90" s="170" t="str">
        <f>VLOOKUP($D90,'Planes y paquetes'!$C$654:$L$687,2,FALSE)</f>
        <v>No Residencial</v>
      </c>
      <c r="G90" s="170" t="str">
        <f>VLOOKUP($D90,'Planes y paquetes'!$C$654:$L$687,3,FALSE)</f>
        <v>Telefonía fija + Internet fijo</v>
      </c>
      <c r="H90" s="170">
        <f>IFERROR(VLOOKUP($D90,'Planes y paquetes'!$C$384:$BW$417,69,FALSE),"")</f>
        <v>50</v>
      </c>
      <c r="I90" s="179">
        <f>IFERROR(VLOOKUP($D90,'Planes y paquetes'!$C$384:$BW$417,70,FALSE),"")</f>
        <v>0.76800000000000002</v>
      </c>
      <c r="J90" s="180">
        <f>IFERROR(SUM(VLOOKUP($D90,'Planes y paquetes'!$C$654:$L$687,'Cálculos auxiliares'!L$55,FALSE),VLOOKUP($D90,'Planes y paquetes'!$C$654:$L$687,'Cálculos auxiliares'!J$55,FALSE)),"")</f>
        <v>4058</v>
      </c>
      <c r="K90" s="181">
        <f>IFERROR(VLOOKUP($D90,'Planes y paquetes'!C686:L719,'Cálculos auxiliares'!K$55,FALSE),"")</f>
        <v>7731</v>
      </c>
      <c r="L90" s="182"/>
      <c r="M90" s="183"/>
    </row>
    <row r="91" spans="3:13" ht="12">
      <c r="C91" s="91">
        <f t="shared" si="4"/>
        <v>34</v>
      </c>
      <c r="D91" s="143" t="str">
        <v>Infinitum Negocio Premium</v>
      </c>
      <c r="F91" s="170" t="str">
        <f>VLOOKUP($D91,'Planes y paquetes'!$C$654:$L$687,2,FALSE)</f>
        <v>No Residencial</v>
      </c>
      <c r="G91" s="170" t="str">
        <f>VLOOKUP($D91,'Planes y paquetes'!$C$654:$L$687,3,FALSE)</f>
        <v>Telefonía fija + Internet fijo</v>
      </c>
      <c r="H91" s="170">
        <f>IFERROR(VLOOKUP($D91,'Planes y paquetes'!$C$384:$BW$417,69,FALSE),"")</f>
        <v>100</v>
      </c>
      <c r="I91" s="179">
        <f>IFERROR(VLOOKUP($D91,'Planes y paquetes'!$C$384:$BW$417,70,FALSE),"")</f>
        <v>0.76800000000000002</v>
      </c>
      <c r="J91" s="180">
        <f>IFERROR(SUM(VLOOKUP($D91,'Planes y paquetes'!$C$654:$L$687,'Cálculos auxiliares'!L$55,FALSE),VLOOKUP($D91,'Planes y paquetes'!$C$654:$L$687,'Cálculos auxiliares'!J$55,FALSE)),"")</f>
        <v>2955</v>
      </c>
      <c r="K91" s="181">
        <f>IFERROR(VLOOKUP($D91,'Planes y paquetes'!C687:L720,'Cálculos auxiliares'!K$55,FALSE),"")</f>
        <v>7394</v>
      </c>
      <c r="L91" s="182"/>
      <c r="M91" s="183"/>
    </row>
    <row r="92" spans="3:13" ht="12">
      <c r="C92" s="125" t="s">
        <v>398</v>
      </c>
      <c r="D92" s="98"/>
      <c r="E92" s="98"/>
      <c r="F92" s="98"/>
      <c r="G92" s="98"/>
      <c r="H92" s="98"/>
      <c r="I92" s="98"/>
      <c r="J92" s="98"/>
      <c r="K92" s="98"/>
      <c r="L92" s="98"/>
    </row>
    <row r="93" spans="3:13" ht="12"/>
    <row r="94" spans="3:13" ht="12">
      <c r="H94" s="175">
        <v>8</v>
      </c>
      <c r="I94" s="91">
        <f>1+H94</f>
        <v>9</v>
      </c>
    </row>
    <row r="95" spans="3:13" ht="12">
      <c r="E95" s="185" t="str">
        <f>"Cantidad "&amp;Year.selected&amp;" de suscriptores por medio de transmisión"</f>
        <v>Cantidad 2024 de suscriptores por medio de transmisión</v>
      </c>
      <c r="F95" s="185"/>
      <c r="G95" s="185"/>
      <c r="H95" s="78" t="str">
        <f>"Distribución "&amp;Year.selected&amp;" de suscriptores por medio de transmisión"</f>
        <v>Distribución 2024 de suscriptores por medio de transmisión</v>
      </c>
      <c r="I95" s="78"/>
    </row>
    <row r="96" spans="3:13" ht="84">
      <c r="C96" s="69" t="s">
        <v>158</v>
      </c>
      <c r="D96" s="40" t="s">
        <v>390</v>
      </c>
      <c r="E96" s="40" t="s">
        <v>64</v>
      </c>
      <c r="F96" s="40" t="s">
        <v>391</v>
      </c>
      <c r="G96" s="40" t="s">
        <v>392</v>
      </c>
      <c r="H96" s="40" t="s">
        <v>397</v>
      </c>
      <c r="I96" s="40" t="s">
        <v>392</v>
      </c>
      <c r="J96" s="40" t="s">
        <v>399</v>
      </c>
      <c r="K96" s="40"/>
      <c r="L96" s="40" t="s">
        <v>214</v>
      </c>
      <c r="M96" s="40" t="s">
        <v>215</v>
      </c>
    </row>
    <row r="97" spans="3:15" ht="12">
      <c r="C97" s="95">
        <v>1</v>
      </c>
      <c r="D97" s="16">
        <v>15</v>
      </c>
      <c r="E97" s="180">
        <f>SUM(F97:G97)</f>
        <v>320084</v>
      </c>
      <c r="F97" s="186">
        <f t="shared" ref="F97:F108" si="5">SUMIFS($J$58:$J$91,$H$58:$H$91,D97)</f>
        <v>74670</v>
      </c>
      <c r="G97" s="180">
        <f t="shared" ref="G97:G108" si="6">SUMIFS($K$58:$K$91,$H$58:$H$91,D97)</f>
        <v>245414</v>
      </c>
      <c r="H97" s="171">
        <f t="shared" ref="H97:I108" si="7">IFERROR(F97/$E97,"")</f>
        <v>0.23328251334024819</v>
      </c>
      <c r="I97" s="171">
        <f t="shared" si="7"/>
        <v>0.76671748665975181</v>
      </c>
      <c r="J97" s="187">
        <f t="shared" ref="J97:J108" si="8">IFERROR(H97*local.loop.cooper+I97*local.loop.optical.fiber,"")</f>
        <v>100.17056296380609</v>
      </c>
      <c r="K97" t="s">
        <v>400</v>
      </c>
      <c r="O97" s="107"/>
    </row>
    <row r="98" spans="3:15" ht="12">
      <c r="C98" s="91">
        <f>C97+1</f>
        <v>2</v>
      </c>
      <c r="D98" s="16">
        <v>30</v>
      </c>
      <c r="E98" s="180">
        <f t="shared" ref="E98:E108" si="9">SUM(F98:G98)</f>
        <v>77406</v>
      </c>
      <c r="F98" s="186">
        <f t="shared" si="5"/>
        <v>29914</v>
      </c>
      <c r="G98" s="180">
        <f t="shared" si="6"/>
        <v>47492</v>
      </c>
      <c r="H98" s="171">
        <f t="shared" si="7"/>
        <v>0.38645583029739294</v>
      </c>
      <c r="I98" s="171">
        <f t="shared" si="7"/>
        <v>0.61354416970260706</v>
      </c>
      <c r="J98" s="187">
        <f t="shared" si="8"/>
        <v>98.636677751963887</v>
      </c>
      <c r="K98" t="s">
        <v>400</v>
      </c>
      <c r="O98" s="107"/>
    </row>
    <row r="99" spans="3:15" ht="12">
      <c r="C99" s="91">
        <f t="shared" ref="C99:C108" si="10">C98+1</f>
        <v>3</v>
      </c>
      <c r="D99" s="16">
        <v>40</v>
      </c>
      <c r="E99" s="180">
        <f t="shared" si="9"/>
        <v>514</v>
      </c>
      <c r="F99" s="186">
        <f t="shared" si="5"/>
        <v>130</v>
      </c>
      <c r="G99" s="180">
        <f t="shared" si="6"/>
        <v>384</v>
      </c>
      <c r="H99" s="171">
        <f t="shared" si="7"/>
        <v>0.25291828793774318</v>
      </c>
      <c r="I99" s="171">
        <f t="shared" si="7"/>
        <v>0.74708171206225682</v>
      </c>
      <c r="J99" s="187">
        <f t="shared" si="8"/>
        <v>99.973929340688869</v>
      </c>
      <c r="K99" t="s">
        <v>400</v>
      </c>
      <c r="L99" s="121"/>
      <c r="M99" s="121"/>
      <c r="O99" s="107"/>
    </row>
    <row r="100" spans="3:15" ht="12">
      <c r="C100" s="91">
        <f t="shared" si="10"/>
        <v>4</v>
      </c>
      <c r="D100" s="16">
        <v>50</v>
      </c>
      <c r="E100" s="180">
        <f t="shared" si="9"/>
        <v>11789</v>
      </c>
      <c r="F100" s="186">
        <f t="shared" si="5"/>
        <v>4058</v>
      </c>
      <c r="G100" s="180">
        <f t="shared" si="6"/>
        <v>7731</v>
      </c>
      <c r="H100" s="171">
        <f t="shared" si="7"/>
        <v>0.34421918737806428</v>
      </c>
      <c r="I100" s="171">
        <f t="shared" si="7"/>
        <v>0.65578081262193566</v>
      </c>
      <c r="J100" s="187">
        <f t="shared" si="8"/>
        <v>99.059637594179378</v>
      </c>
      <c r="K100" t="s">
        <v>400</v>
      </c>
      <c r="L100" s="121"/>
      <c r="M100" s="121"/>
      <c r="O100" s="107"/>
    </row>
    <row r="101" spans="3:15" ht="12">
      <c r="C101" s="91">
        <f t="shared" si="10"/>
        <v>5</v>
      </c>
      <c r="D101" s="16">
        <v>60</v>
      </c>
      <c r="E101" s="180">
        <f t="shared" si="9"/>
        <v>9214204</v>
      </c>
      <c r="F101" s="186">
        <f t="shared" si="5"/>
        <v>1688162</v>
      </c>
      <c r="G101" s="180">
        <f t="shared" si="6"/>
        <v>7526042</v>
      </c>
      <c r="H101" s="171">
        <f t="shared" si="7"/>
        <v>0.18321300461765336</v>
      </c>
      <c r="I101" s="171">
        <f t="shared" si="7"/>
        <v>0.81678699538234667</v>
      </c>
      <c r="J101" s="187">
        <f t="shared" si="8"/>
        <v>100.67196151362845</v>
      </c>
      <c r="K101" t="s">
        <v>400</v>
      </c>
      <c r="L101" s="121"/>
      <c r="M101" s="121"/>
      <c r="O101" s="107"/>
    </row>
    <row r="102" spans="3:15" ht="12">
      <c r="C102" s="91">
        <f t="shared" si="10"/>
        <v>6</v>
      </c>
      <c r="D102" s="16">
        <v>80</v>
      </c>
      <c r="E102" s="180">
        <f t="shared" si="9"/>
        <v>538785</v>
      </c>
      <c r="F102" s="186">
        <f t="shared" si="5"/>
        <v>33364</v>
      </c>
      <c r="G102" s="180">
        <f t="shared" si="6"/>
        <v>505421</v>
      </c>
      <c r="H102" s="171">
        <f t="shared" si="7"/>
        <v>6.1924515344710787E-2</v>
      </c>
      <c r="I102" s="171">
        <f t="shared" si="7"/>
        <v>0.93807548465528923</v>
      </c>
      <c r="J102" s="187">
        <f t="shared" si="8"/>
        <v>101.88655047571575</v>
      </c>
      <c r="K102" t="s">
        <v>400</v>
      </c>
      <c r="L102" s="121"/>
      <c r="M102" s="121"/>
      <c r="O102" s="107"/>
    </row>
    <row r="103" spans="3:15" ht="12">
      <c r="C103" s="91">
        <f t="shared" si="10"/>
        <v>7</v>
      </c>
      <c r="D103" s="16">
        <v>100</v>
      </c>
      <c r="E103" s="180">
        <f t="shared" si="9"/>
        <v>809441</v>
      </c>
      <c r="F103" s="186">
        <f t="shared" si="5"/>
        <v>74466</v>
      </c>
      <c r="G103" s="180">
        <f t="shared" si="6"/>
        <v>734975</v>
      </c>
      <c r="H103" s="171">
        <f t="shared" si="7"/>
        <v>9.19968224984897E-2</v>
      </c>
      <c r="I103" s="171">
        <f t="shared" si="7"/>
        <v>0.90800317750151027</v>
      </c>
      <c r="J103" s="187">
        <f t="shared" si="8"/>
        <v>101.58540489667169</v>
      </c>
      <c r="K103" t="s">
        <v>400</v>
      </c>
      <c r="L103" s="121"/>
      <c r="M103" s="121"/>
      <c r="O103" s="107"/>
    </row>
    <row r="104" spans="3:15" ht="12">
      <c r="C104" s="91">
        <f t="shared" si="10"/>
        <v>8</v>
      </c>
      <c r="D104" s="16">
        <v>200</v>
      </c>
      <c r="E104" s="180">
        <f t="shared" si="9"/>
        <v>348656</v>
      </c>
      <c r="F104" s="186">
        <f t="shared" si="5"/>
        <v>39062</v>
      </c>
      <c r="G104" s="180">
        <f t="shared" si="6"/>
        <v>309594</v>
      </c>
      <c r="H104" s="171">
        <f t="shared" si="7"/>
        <v>0.11203593226561424</v>
      </c>
      <c r="I104" s="171">
        <f t="shared" si="7"/>
        <v>0.88796406773438574</v>
      </c>
      <c r="J104" s="187">
        <f t="shared" si="8"/>
        <v>101.38473225511183</v>
      </c>
      <c r="K104" t="s">
        <v>400</v>
      </c>
      <c r="L104" s="121"/>
      <c r="M104" s="121"/>
      <c r="O104" s="107"/>
    </row>
    <row r="105" spans="3:15" ht="12">
      <c r="C105" s="91">
        <f t="shared" si="10"/>
        <v>9</v>
      </c>
      <c r="D105" s="16">
        <v>300</v>
      </c>
      <c r="E105" s="180">
        <f t="shared" si="9"/>
        <v>571798</v>
      </c>
      <c r="F105" s="186">
        <f t="shared" si="5"/>
        <v>28664</v>
      </c>
      <c r="G105" s="180">
        <f t="shared" si="6"/>
        <v>543134</v>
      </c>
      <c r="H105" s="171">
        <f t="shared" si="7"/>
        <v>5.0129591219276737E-2</v>
      </c>
      <c r="I105" s="171">
        <f t="shared" si="7"/>
        <v>0.94987040878072326</v>
      </c>
      <c r="J105" s="187">
        <f t="shared" si="8"/>
        <v>102.00466543235578</v>
      </c>
      <c r="K105" t="s">
        <v>400</v>
      </c>
      <c r="L105" s="121"/>
      <c r="M105" s="121"/>
      <c r="O105" s="107"/>
    </row>
    <row r="106" spans="3:15" ht="12">
      <c r="C106" s="91">
        <f t="shared" si="10"/>
        <v>10</v>
      </c>
      <c r="D106" s="16">
        <v>500</v>
      </c>
      <c r="E106" s="180">
        <f t="shared" si="9"/>
        <v>3996</v>
      </c>
      <c r="F106" s="186">
        <f t="shared" si="5"/>
        <v>55</v>
      </c>
      <c r="G106" s="180">
        <f t="shared" si="6"/>
        <v>3941</v>
      </c>
      <c r="H106" s="171">
        <f t="shared" si="7"/>
        <v>1.3763763763763764E-2</v>
      </c>
      <c r="I106" s="171">
        <f t="shared" si="7"/>
        <v>0.98623623623623624</v>
      </c>
      <c r="J106" s="187">
        <f t="shared" si="8"/>
        <v>102.36883463661754</v>
      </c>
      <c r="K106" t="s">
        <v>400</v>
      </c>
      <c r="L106" s="121"/>
      <c r="M106" s="121"/>
      <c r="O106" s="107"/>
    </row>
    <row r="107" spans="3:15" ht="12">
      <c r="C107" s="91">
        <f t="shared" si="10"/>
        <v>11</v>
      </c>
      <c r="D107" s="16">
        <v>750</v>
      </c>
      <c r="E107" s="180">
        <f t="shared" si="9"/>
        <v>76063</v>
      </c>
      <c r="F107" s="186">
        <f t="shared" si="5"/>
        <v>301</v>
      </c>
      <c r="G107" s="180">
        <f t="shared" si="6"/>
        <v>75762</v>
      </c>
      <c r="H107" s="171">
        <f t="shared" si="7"/>
        <v>3.9572459671588026E-3</v>
      </c>
      <c r="I107" s="171">
        <f t="shared" si="7"/>
        <v>0.99604275403284115</v>
      </c>
      <c r="J107" s="187">
        <f t="shared" si="8"/>
        <v>102.46703759341638</v>
      </c>
      <c r="K107" t="s">
        <v>400</v>
      </c>
      <c r="L107" s="121"/>
      <c r="M107" s="121"/>
      <c r="O107" s="107"/>
    </row>
    <row r="108" spans="3:15" ht="12.75" thickBot="1">
      <c r="C108" s="91">
        <f t="shared" si="10"/>
        <v>12</v>
      </c>
      <c r="D108" s="16">
        <v>1000</v>
      </c>
      <c r="E108" s="180">
        <f t="shared" si="9"/>
        <v>12125</v>
      </c>
      <c r="F108" s="186">
        <f t="shared" si="5"/>
        <v>527</v>
      </c>
      <c r="G108" s="180">
        <f t="shared" si="6"/>
        <v>11598</v>
      </c>
      <c r="H108" s="171">
        <f t="shared" si="7"/>
        <v>4.3463917525773194E-2</v>
      </c>
      <c r="I108" s="171">
        <f t="shared" si="7"/>
        <v>0.95653608247422683</v>
      </c>
      <c r="J108" s="187">
        <f t="shared" si="8"/>
        <v>102.07141582014228</v>
      </c>
      <c r="K108" t="s">
        <v>400</v>
      </c>
      <c r="L108" s="121"/>
      <c r="M108" s="121"/>
      <c r="O108" s="107"/>
    </row>
    <row r="109" spans="3:15" ht="12">
      <c r="E109" s="188"/>
      <c r="F109" s="50"/>
      <c r="G109" s="50"/>
      <c r="H109" s="189"/>
      <c r="I109" s="50"/>
      <c r="J109" s="50"/>
      <c r="K109" s="50"/>
      <c r="L109" s="50"/>
      <c r="M109" s="50"/>
    </row>
    <row r="110" spans="3:15" ht="12"/>
    <row r="111" spans="3:15" ht="12">
      <c r="C111" s="96" t="s">
        <v>398</v>
      </c>
      <c r="K111" s="190"/>
    </row>
    <row r="112" spans="3:15" ht="12"/>
    <row r="113" spans="3:13" ht="12"/>
    <row r="114" spans="3:13" ht="36">
      <c r="C114" s="69" t="s">
        <v>158</v>
      </c>
      <c r="D114" s="40" t="s">
        <v>401</v>
      </c>
      <c r="E114" s="40"/>
      <c r="F114" s="40"/>
      <c r="G114" s="40"/>
      <c r="H114" s="40"/>
      <c r="I114" s="40"/>
      <c r="J114" s="40" t="s">
        <v>399</v>
      </c>
      <c r="K114" s="40"/>
      <c r="L114" s="40" t="s">
        <v>214</v>
      </c>
      <c r="M114" s="40" t="s">
        <v>215</v>
      </c>
    </row>
    <row r="115" spans="3:13" ht="12">
      <c r="C115" s="95">
        <v>1</v>
      </c>
      <c r="D115" s="16" t="str">
        <f t="shared" ref="D115:D126" si="11">D97&amp;" "&amp;K97</f>
        <v>15 Mbps</v>
      </c>
      <c r="H115" s="191">
        <f>local.loop.cooper</f>
        <v>92.492615930921417</v>
      </c>
      <c r="J115" s="187">
        <f>H115</f>
        <v>92.492615930921417</v>
      </c>
    </row>
    <row r="116" spans="3:13" ht="12">
      <c r="C116" s="91">
        <f>C115+1</f>
        <v>2</v>
      </c>
      <c r="D116" s="16" t="str">
        <f t="shared" si="11"/>
        <v>30 Mbps</v>
      </c>
      <c r="H116" s="192">
        <f>local.loop.optical.fiber</f>
        <v>102.50666565128724</v>
      </c>
      <c r="J116" s="187">
        <f t="shared" ref="J116:J126" si="12">H116</f>
        <v>102.50666565128724</v>
      </c>
    </row>
    <row r="117" spans="3:13" ht="12">
      <c r="C117" s="91">
        <f t="shared" ref="C117:C126" si="13">C116+1</f>
        <v>3</v>
      </c>
      <c r="D117" s="16" t="str">
        <f t="shared" si="11"/>
        <v>40 Mbps</v>
      </c>
      <c r="H117" s="187">
        <f>H116</f>
        <v>102.50666565128724</v>
      </c>
      <c r="J117" s="187">
        <f t="shared" si="12"/>
        <v>102.50666565128724</v>
      </c>
    </row>
    <row r="118" spans="3:13" ht="12">
      <c r="C118" s="91">
        <f t="shared" si="13"/>
        <v>4</v>
      </c>
      <c r="D118" s="16" t="str">
        <f t="shared" si="11"/>
        <v>50 Mbps</v>
      </c>
      <c r="H118" s="187">
        <f>H116</f>
        <v>102.50666565128724</v>
      </c>
      <c r="J118" s="187">
        <f t="shared" si="12"/>
        <v>102.50666565128724</v>
      </c>
    </row>
    <row r="119" spans="3:13" ht="12">
      <c r="C119" s="91">
        <f t="shared" si="13"/>
        <v>5</v>
      </c>
      <c r="D119" s="16" t="str">
        <f t="shared" si="11"/>
        <v>60 Mbps</v>
      </c>
      <c r="H119" s="187">
        <f t="shared" ref="H119:H126" si="14">H118</f>
        <v>102.50666565128724</v>
      </c>
      <c r="J119" s="187">
        <f t="shared" si="12"/>
        <v>102.50666565128724</v>
      </c>
      <c r="M119" s="157"/>
    </row>
    <row r="120" spans="3:13" ht="12">
      <c r="C120" s="91">
        <f t="shared" si="13"/>
        <v>6</v>
      </c>
      <c r="D120" s="16" t="str">
        <f t="shared" si="11"/>
        <v>80 Mbps</v>
      </c>
      <c r="H120" s="187">
        <f t="shared" si="14"/>
        <v>102.50666565128724</v>
      </c>
      <c r="J120" s="187">
        <f t="shared" si="12"/>
        <v>102.50666565128724</v>
      </c>
    </row>
    <row r="121" spans="3:13" ht="12">
      <c r="C121" s="91">
        <f t="shared" si="13"/>
        <v>7</v>
      </c>
      <c r="D121" s="16" t="str">
        <f t="shared" si="11"/>
        <v>100 Mbps</v>
      </c>
      <c r="H121" s="187">
        <f t="shared" si="14"/>
        <v>102.50666565128724</v>
      </c>
      <c r="J121" s="187">
        <f t="shared" si="12"/>
        <v>102.50666565128724</v>
      </c>
    </row>
    <row r="122" spans="3:13" ht="12">
      <c r="C122" s="91">
        <f t="shared" si="13"/>
        <v>8</v>
      </c>
      <c r="D122" s="16" t="str">
        <f t="shared" si="11"/>
        <v>200 Mbps</v>
      </c>
      <c r="H122" s="187">
        <f t="shared" si="14"/>
        <v>102.50666565128724</v>
      </c>
      <c r="J122" s="187">
        <f t="shared" si="12"/>
        <v>102.50666565128724</v>
      </c>
    </row>
    <row r="123" spans="3:13" ht="12">
      <c r="C123" s="91">
        <f t="shared" si="13"/>
        <v>9</v>
      </c>
      <c r="D123" s="16" t="str">
        <f t="shared" si="11"/>
        <v>300 Mbps</v>
      </c>
      <c r="H123" s="187">
        <f t="shared" si="14"/>
        <v>102.50666565128724</v>
      </c>
      <c r="J123" s="187">
        <f t="shared" si="12"/>
        <v>102.50666565128724</v>
      </c>
    </row>
    <row r="124" spans="3:13" ht="12">
      <c r="C124" s="91">
        <f t="shared" si="13"/>
        <v>10</v>
      </c>
      <c r="D124" s="16" t="str">
        <f t="shared" si="11"/>
        <v>500 Mbps</v>
      </c>
      <c r="H124" s="187">
        <f t="shared" si="14"/>
        <v>102.50666565128724</v>
      </c>
      <c r="J124" s="187">
        <f t="shared" si="12"/>
        <v>102.50666565128724</v>
      </c>
    </row>
    <row r="125" spans="3:13" ht="12">
      <c r="C125" s="91">
        <f t="shared" si="13"/>
        <v>11</v>
      </c>
      <c r="D125" s="16" t="str">
        <f t="shared" si="11"/>
        <v>750 Mbps</v>
      </c>
      <c r="H125" s="187">
        <f t="shared" si="14"/>
        <v>102.50666565128724</v>
      </c>
      <c r="J125" s="187">
        <f t="shared" si="12"/>
        <v>102.50666565128724</v>
      </c>
    </row>
    <row r="126" spans="3:13" ht="12.75" thickBot="1">
      <c r="C126" s="91">
        <f t="shared" si="13"/>
        <v>12</v>
      </c>
      <c r="D126" s="16" t="str">
        <f t="shared" si="11"/>
        <v>1000 Mbps</v>
      </c>
      <c r="H126" s="187">
        <f t="shared" si="14"/>
        <v>102.50666565128724</v>
      </c>
      <c r="J126" s="187">
        <f t="shared" si="12"/>
        <v>102.50666565128724</v>
      </c>
    </row>
    <row r="127" spans="3:13" ht="12">
      <c r="D127" s="50"/>
      <c r="E127" s="50"/>
      <c r="F127" s="50"/>
      <c r="G127" s="50"/>
      <c r="H127" s="50"/>
      <c r="I127" s="50"/>
      <c r="J127" s="50"/>
      <c r="K127" s="50"/>
      <c r="L127" s="174" t="s">
        <v>402</v>
      </c>
      <c r="M127" s="50"/>
    </row>
    <row r="128" spans="3:13" ht="12"/>
    <row r="129" spans="1:38" ht="12">
      <c r="A129" s="94">
        <v>3</v>
      </c>
      <c r="B129" s="94" t="s">
        <v>403</v>
      </c>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row>
    <row r="130" spans="1:38" ht="12"/>
    <row r="131" spans="1:38" ht="12">
      <c r="J131" s="193"/>
    </row>
    <row r="132" spans="1:38" ht="12">
      <c r="J132" s="193"/>
      <c r="Q132" s="70" t="s">
        <v>404</v>
      </c>
      <c r="R132" s="70"/>
      <c r="S132" s="70"/>
      <c r="T132" s="70"/>
      <c r="U132" s="70"/>
      <c r="V132" s="70"/>
      <c r="W132" s="70"/>
      <c r="X132" s="70"/>
      <c r="Y132" s="70"/>
      <c r="Z132" s="70"/>
      <c r="AA132" s="70"/>
      <c r="AB132" s="70"/>
      <c r="AC132" s="70"/>
      <c r="AD132" s="70"/>
      <c r="AE132" s="70"/>
      <c r="AF132" s="70"/>
      <c r="AG132" s="70"/>
      <c r="AH132" s="70"/>
      <c r="AI132" s="70"/>
      <c r="AJ132" s="70"/>
      <c r="AK132" s="70"/>
      <c r="AL132" s="70"/>
    </row>
    <row r="133" spans="1:38" ht="48">
      <c r="C133" s="69" t="s">
        <v>158</v>
      </c>
      <c r="D133" s="69" t="s">
        <v>389</v>
      </c>
      <c r="E133" s="70"/>
      <c r="F133" s="40" t="s">
        <v>318</v>
      </c>
      <c r="G133" s="40" t="s">
        <v>319</v>
      </c>
      <c r="H133" s="40" t="s">
        <v>390</v>
      </c>
      <c r="I133" s="40" t="s">
        <v>405</v>
      </c>
      <c r="J133" s="40" t="s">
        <v>406</v>
      </c>
      <c r="K133" s="40" t="str">
        <f>"Suscriptores por el plan/paquete en el año "&amp;Year.selected</f>
        <v>Suscriptores por el plan/paquete en el año 2024</v>
      </c>
      <c r="L133" s="40" t="s">
        <v>214</v>
      </c>
      <c r="M133" s="40" t="s">
        <v>215</v>
      </c>
      <c r="Q133" s="194">
        <v>3</v>
      </c>
      <c r="R133" s="194">
        <v>5</v>
      </c>
      <c r="S133" s="194">
        <v>10</v>
      </c>
      <c r="T133" s="194">
        <v>15</v>
      </c>
      <c r="U133" s="194">
        <v>20</v>
      </c>
      <c r="V133" s="194">
        <v>30</v>
      </c>
      <c r="W133" s="194">
        <v>40</v>
      </c>
      <c r="X133" s="194">
        <v>50</v>
      </c>
      <c r="Y133" s="194">
        <v>60</v>
      </c>
      <c r="Z133" s="194">
        <v>70</v>
      </c>
      <c r="AA133" s="194">
        <v>80</v>
      </c>
      <c r="AB133" s="194">
        <v>100</v>
      </c>
      <c r="AC133" s="194">
        <v>120</v>
      </c>
      <c r="AD133" s="194">
        <v>150</v>
      </c>
      <c r="AE133" s="194">
        <v>200</v>
      </c>
      <c r="AF133" s="194">
        <v>250</v>
      </c>
      <c r="AG133" s="194">
        <v>300</v>
      </c>
      <c r="AH133" s="194">
        <v>350</v>
      </c>
      <c r="AI133" s="194">
        <v>400</v>
      </c>
      <c r="AJ133" s="194">
        <v>500</v>
      </c>
      <c r="AK133" s="194">
        <v>750</v>
      </c>
      <c r="AL133" s="194">
        <v>1000</v>
      </c>
    </row>
    <row r="134" spans="1:38" ht="12">
      <c r="B134" s="142" t="str">
        <f>D134&amp;F134</f>
        <v>Paquete 249Residencial</v>
      </c>
      <c r="C134" s="95">
        <v>1</v>
      </c>
      <c r="D134" s="143" t="str">
        <f t="array" ref="D134:D167">vector.broadband.plans.names</f>
        <v>Paquete 249</v>
      </c>
      <c r="F134" s="170" t="str">
        <f>IFERROR(VLOOKUP($D134,'Planes y paquetes'!$C$654:$E$687,2,FALSE),"")</f>
        <v>Residencial</v>
      </c>
      <c r="G134" s="170" t="str">
        <f>IFERROR(VLOOKUP($D134,'Planes y paquetes'!$C$654:$E$687,3,FALSE),"")</f>
        <v>Telefonía fija + Internet fijo</v>
      </c>
      <c r="H134" s="170" t="str">
        <f>IFERROR(VLOOKUP($D134,'Planes y paquetes'!$C$384:$P$417,13,FALSE),"")</f>
        <v>15 Mbps</v>
      </c>
      <c r="I134" s="195">
        <f>INDEX(vector.implicit.prices.broadband.after.discount,MATCH('Cálculos auxiliares'!D134,vector.plans.names,0))</f>
        <v>68</v>
      </c>
      <c r="J134" s="195">
        <f t="shared" ref="J134:J167" si="15">IF(G134="Internet fijo",I134-VLOOKUP(H134,weighted.average.local.loop.by.plan.by.tx.media,5,FALSE),I134)</f>
        <v>68</v>
      </c>
      <c r="K134" s="196">
        <f t="shared" ref="K134:K165" si="16">VLOOKUP(B134,AEP.broadband.distribution.by.plan,6+MATCH(Year.selected,Years,0),FALSE)</f>
        <v>1.8951756589592545E-2</v>
      </c>
      <c r="M134" s="197">
        <f>LEFT(H134,FIND(" ",H134))*1</f>
        <v>15</v>
      </c>
      <c r="Q134" s="91">
        <f t="shared" ref="Q134:AI147" si="17">IF(Q$133=$M134,1,0)</f>
        <v>0</v>
      </c>
      <c r="R134" s="91">
        <f t="shared" si="17"/>
        <v>0</v>
      </c>
      <c r="S134" s="91">
        <f t="shared" si="17"/>
        <v>0</v>
      </c>
      <c r="T134" s="91">
        <f t="shared" si="17"/>
        <v>1</v>
      </c>
      <c r="U134" s="91">
        <f t="shared" si="17"/>
        <v>0</v>
      </c>
      <c r="V134" s="91">
        <f t="shared" si="17"/>
        <v>0</v>
      </c>
      <c r="W134" s="91">
        <f t="shared" si="17"/>
        <v>0</v>
      </c>
      <c r="X134" s="91">
        <f t="shared" si="17"/>
        <v>0</v>
      </c>
      <c r="Y134" s="91">
        <f t="shared" si="17"/>
        <v>0</v>
      </c>
      <c r="Z134" s="91">
        <f t="shared" si="17"/>
        <v>0</v>
      </c>
      <c r="AA134" s="91">
        <f t="shared" si="17"/>
        <v>0</v>
      </c>
      <c r="AB134" s="91">
        <f t="shared" si="17"/>
        <v>0</v>
      </c>
      <c r="AC134" s="91">
        <f t="shared" si="17"/>
        <v>0</v>
      </c>
      <c r="AD134" s="91">
        <f t="shared" si="17"/>
        <v>0</v>
      </c>
      <c r="AE134" s="91">
        <f t="shared" si="17"/>
        <v>0</v>
      </c>
      <c r="AF134" s="91">
        <f t="shared" si="17"/>
        <v>0</v>
      </c>
      <c r="AG134" s="91">
        <f t="shared" si="17"/>
        <v>0</v>
      </c>
      <c r="AH134" s="91">
        <f t="shared" si="17"/>
        <v>0</v>
      </c>
      <c r="AI134" s="91">
        <f t="shared" si="17"/>
        <v>0</v>
      </c>
      <c r="AJ134" s="91">
        <f t="shared" ref="AJ134:AL153" si="18">IF(AJ$133=$M134,1,0)</f>
        <v>0</v>
      </c>
      <c r="AK134" s="91">
        <f t="shared" si="18"/>
        <v>0</v>
      </c>
      <c r="AL134" s="91">
        <f t="shared" si="18"/>
        <v>0</v>
      </c>
    </row>
    <row r="135" spans="1:38" ht="12">
      <c r="B135" s="142" t="str">
        <f t="shared" ref="B135:B167" si="19">D135&amp;F135</f>
        <v>Paquete 289Residencial</v>
      </c>
      <c r="C135" s="91">
        <f>1+C134</f>
        <v>2</v>
      </c>
      <c r="D135" s="143" t="str">
        <v>Paquete 289</v>
      </c>
      <c r="F135" s="170" t="str">
        <f>IFERROR(VLOOKUP($D135,'Planes y paquetes'!$C$654:$E$687,2,FALSE),"")</f>
        <v>Residencial</v>
      </c>
      <c r="G135" s="170" t="str">
        <f>IFERROR(VLOOKUP($D135,'Planes y paquetes'!$C$654:$E$687,3,FALSE),"")</f>
        <v>Telefonía fija + Internet fijo</v>
      </c>
      <c r="H135" s="170" t="str">
        <f>IFERROR(VLOOKUP($D135,'Planes y paquetes'!$C$384:$P$417,13,FALSE),"")</f>
        <v>15 Mbps</v>
      </c>
      <c r="I135" s="195">
        <f>INDEX(vector.implicit.prices.broadband.after.discount,MATCH('Cálculos auxiliares'!D135,vector.plans.names,0))</f>
        <v>65</v>
      </c>
      <c r="J135" s="195">
        <f t="shared" si="15"/>
        <v>65</v>
      </c>
      <c r="K135" s="196">
        <f t="shared" si="16"/>
        <v>5.1170448778457703E-3</v>
      </c>
      <c r="M135" s="197">
        <f t="shared" ref="M135:M167" si="20">LEFT(H135,FIND(" ",H135))*1</f>
        <v>15</v>
      </c>
      <c r="Q135" s="91">
        <f t="shared" si="17"/>
        <v>0</v>
      </c>
      <c r="R135" s="91">
        <f t="shared" si="17"/>
        <v>0</v>
      </c>
      <c r="S135" s="91">
        <f t="shared" si="17"/>
        <v>0</v>
      </c>
      <c r="T135" s="91">
        <f t="shared" si="17"/>
        <v>1</v>
      </c>
      <c r="U135" s="91">
        <f t="shared" si="17"/>
        <v>0</v>
      </c>
      <c r="V135" s="91">
        <f t="shared" si="17"/>
        <v>0</v>
      </c>
      <c r="W135" s="91">
        <f t="shared" si="17"/>
        <v>0</v>
      </c>
      <c r="X135" s="91">
        <f t="shared" si="17"/>
        <v>0</v>
      </c>
      <c r="Y135" s="91">
        <f t="shared" si="17"/>
        <v>0</v>
      </c>
      <c r="Z135" s="91">
        <f t="shared" si="17"/>
        <v>0</v>
      </c>
      <c r="AA135" s="91">
        <f t="shared" si="17"/>
        <v>0</v>
      </c>
      <c r="AB135" s="91">
        <f t="shared" si="17"/>
        <v>0</v>
      </c>
      <c r="AC135" s="91">
        <f t="shared" si="17"/>
        <v>0</v>
      </c>
      <c r="AD135" s="91">
        <f t="shared" si="17"/>
        <v>0</v>
      </c>
      <c r="AE135" s="91">
        <f t="shared" si="17"/>
        <v>0</v>
      </c>
      <c r="AF135" s="91">
        <f t="shared" si="17"/>
        <v>0</v>
      </c>
      <c r="AG135" s="91">
        <f t="shared" si="17"/>
        <v>0</v>
      </c>
      <c r="AH135" s="91">
        <f t="shared" si="17"/>
        <v>0</v>
      </c>
      <c r="AI135" s="91">
        <f t="shared" si="17"/>
        <v>0</v>
      </c>
      <c r="AJ135" s="91">
        <f t="shared" si="18"/>
        <v>0</v>
      </c>
      <c r="AK135" s="91">
        <f t="shared" si="18"/>
        <v>0</v>
      </c>
      <c r="AL135" s="91">
        <f t="shared" si="18"/>
        <v>0</v>
      </c>
    </row>
    <row r="136" spans="1:38" ht="12">
      <c r="B136" s="142" t="str">
        <f t="shared" si="19"/>
        <v>Paquete 333Residencial</v>
      </c>
      <c r="C136" s="91">
        <f t="shared" ref="C136:C167" si="21">1+C135</f>
        <v>3</v>
      </c>
      <c r="D136" s="143" t="str">
        <v>Paquete 333</v>
      </c>
      <c r="F136" s="170" t="str">
        <f>IFERROR(VLOOKUP($D136,'Planes y paquetes'!$C$654:$E$687,2,FALSE),"")</f>
        <v>Residencial</v>
      </c>
      <c r="G136" s="170" t="str">
        <f>IFERROR(VLOOKUP($D136,'Planes y paquetes'!$C$654:$E$687,3,FALSE),"")</f>
        <v>Telefonía fija + Internet fijo</v>
      </c>
      <c r="H136" s="170" t="str">
        <f>IFERROR(VLOOKUP($D136,'Planes y paquetes'!$C$384:$P$417,13,FALSE),"")</f>
        <v>15 Mbps</v>
      </c>
      <c r="I136" s="195">
        <f>INDEX(vector.implicit.prices.broadband.after.discount,MATCH('Cálculos auxiliares'!D136,vector.plans.names,0))</f>
        <v>87</v>
      </c>
      <c r="J136" s="195">
        <f t="shared" si="15"/>
        <v>87</v>
      </c>
      <c r="K136" s="196">
        <f t="shared" si="16"/>
        <v>4.524830769138866E-3</v>
      </c>
      <c r="M136" s="197">
        <f t="shared" si="20"/>
        <v>15</v>
      </c>
      <c r="Q136" s="91">
        <f t="shared" si="17"/>
        <v>0</v>
      </c>
      <c r="R136" s="91">
        <f t="shared" si="17"/>
        <v>0</v>
      </c>
      <c r="S136" s="91">
        <f t="shared" si="17"/>
        <v>0</v>
      </c>
      <c r="T136" s="91">
        <f t="shared" si="17"/>
        <v>1</v>
      </c>
      <c r="U136" s="91">
        <f t="shared" si="17"/>
        <v>0</v>
      </c>
      <c r="V136" s="91">
        <f t="shared" si="17"/>
        <v>0</v>
      </c>
      <c r="W136" s="91">
        <f t="shared" si="17"/>
        <v>0</v>
      </c>
      <c r="X136" s="91">
        <f t="shared" si="17"/>
        <v>0</v>
      </c>
      <c r="Y136" s="91">
        <f t="shared" si="17"/>
        <v>0</v>
      </c>
      <c r="Z136" s="91">
        <f t="shared" si="17"/>
        <v>0</v>
      </c>
      <c r="AA136" s="91">
        <f t="shared" si="17"/>
        <v>0</v>
      </c>
      <c r="AB136" s="91">
        <f t="shared" si="17"/>
        <v>0</v>
      </c>
      <c r="AC136" s="91">
        <f t="shared" si="17"/>
        <v>0</v>
      </c>
      <c r="AD136" s="91">
        <f t="shared" si="17"/>
        <v>0</v>
      </c>
      <c r="AE136" s="91">
        <f t="shared" si="17"/>
        <v>0</v>
      </c>
      <c r="AF136" s="91">
        <f t="shared" si="17"/>
        <v>0</v>
      </c>
      <c r="AG136" s="91">
        <f t="shared" si="17"/>
        <v>0</v>
      </c>
      <c r="AH136" s="91">
        <f t="shared" si="17"/>
        <v>0</v>
      </c>
      <c r="AI136" s="91">
        <f t="shared" si="17"/>
        <v>0</v>
      </c>
      <c r="AJ136" s="91">
        <f t="shared" si="18"/>
        <v>0</v>
      </c>
      <c r="AK136" s="91">
        <f t="shared" si="18"/>
        <v>0</v>
      </c>
      <c r="AL136" s="91">
        <f t="shared" si="18"/>
        <v>0</v>
      </c>
    </row>
    <row r="137" spans="1:38" ht="12" hidden="1">
      <c r="B137" s="142" t="str">
        <f t="shared" si="19"/>
        <v>Paquete 389Residencial</v>
      </c>
      <c r="C137" s="91">
        <f t="shared" si="21"/>
        <v>4</v>
      </c>
      <c r="D137" s="143" t="str">
        <v>Paquete 389</v>
      </c>
      <c r="F137" s="170" t="str">
        <f>IFERROR(VLOOKUP($D137,'Planes y paquetes'!$C$654:$E$687,2,FALSE),"")</f>
        <v>Residencial</v>
      </c>
      <c r="G137" s="170" t="str">
        <f>IFERROR(VLOOKUP($D137,'Planes y paquetes'!$C$654:$E$687,3,FALSE),"")</f>
        <v>Telefonía fija + Internet fijo</v>
      </c>
      <c r="H137" s="170" t="str">
        <f>IFERROR(VLOOKUP($D137,'Planes y paquetes'!$C$384:$P$417,13,FALSE),"")</f>
        <v>60 Mbps</v>
      </c>
      <c r="I137" s="195">
        <f>INDEX(vector.implicit.prices.broadband.after.discount,MATCH('Cálculos auxiliares'!D137,vector.plans.names,0))</f>
        <v>82.892382471329839</v>
      </c>
      <c r="J137" s="195">
        <f t="shared" si="15"/>
        <v>82.892382471329839</v>
      </c>
      <c r="K137" s="196">
        <f t="shared" si="16"/>
        <v>0.52516149668788215</v>
      </c>
      <c r="M137" s="197">
        <f t="shared" si="20"/>
        <v>60</v>
      </c>
      <c r="Q137" s="91">
        <f t="shared" si="17"/>
        <v>0</v>
      </c>
      <c r="R137" s="91">
        <f t="shared" si="17"/>
        <v>0</v>
      </c>
      <c r="S137" s="91">
        <f t="shared" si="17"/>
        <v>0</v>
      </c>
      <c r="T137" s="91">
        <f t="shared" si="17"/>
        <v>0</v>
      </c>
      <c r="U137" s="91">
        <f t="shared" si="17"/>
        <v>0</v>
      </c>
      <c r="V137" s="91">
        <f t="shared" si="17"/>
        <v>0</v>
      </c>
      <c r="W137" s="91">
        <f t="shared" si="17"/>
        <v>0</v>
      </c>
      <c r="X137" s="91">
        <f t="shared" si="17"/>
        <v>0</v>
      </c>
      <c r="Y137" s="91">
        <f t="shared" si="17"/>
        <v>1</v>
      </c>
      <c r="Z137" s="91">
        <f t="shared" si="17"/>
        <v>0</v>
      </c>
      <c r="AA137" s="91">
        <f t="shared" si="17"/>
        <v>0</v>
      </c>
      <c r="AB137" s="91">
        <f t="shared" si="17"/>
        <v>0</v>
      </c>
      <c r="AC137" s="91">
        <f t="shared" si="17"/>
        <v>0</v>
      </c>
      <c r="AD137" s="91">
        <f t="shared" si="17"/>
        <v>0</v>
      </c>
      <c r="AE137" s="91">
        <f t="shared" si="17"/>
        <v>0</v>
      </c>
      <c r="AF137" s="91">
        <f t="shared" si="17"/>
        <v>0</v>
      </c>
      <c r="AG137" s="91">
        <f t="shared" si="17"/>
        <v>0</v>
      </c>
      <c r="AH137" s="91">
        <f t="shared" si="17"/>
        <v>0</v>
      </c>
      <c r="AI137" s="91">
        <f t="shared" si="17"/>
        <v>0</v>
      </c>
      <c r="AJ137" s="91">
        <f t="shared" si="18"/>
        <v>0</v>
      </c>
      <c r="AK137" s="91">
        <f t="shared" si="18"/>
        <v>0</v>
      </c>
      <c r="AL137" s="91">
        <f t="shared" si="18"/>
        <v>0</v>
      </c>
    </row>
    <row r="138" spans="1:38" ht="12">
      <c r="B138" s="142" t="str">
        <f t="shared" si="19"/>
        <v>Paquete 435Residencial</v>
      </c>
      <c r="C138" s="91">
        <f t="shared" si="21"/>
        <v>5</v>
      </c>
      <c r="D138" s="143" t="str">
        <v>Paquete 435</v>
      </c>
      <c r="F138" s="170" t="str">
        <f>IFERROR(VLOOKUP($D138,'Planes y paquetes'!$C$654:$E$687,2,FALSE),"")</f>
        <v>Residencial</v>
      </c>
      <c r="G138" s="170" t="str">
        <f>IFERROR(VLOOKUP($D138,'Planes y paquetes'!$C$654:$E$687,3,FALSE),"")</f>
        <v>Telefonía fija + Internet fijo</v>
      </c>
      <c r="H138" s="170" t="str">
        <f>IFERROR(VLOOKUP($D138,'Planes y paquetes'!$C$384:$P$417,13,FALSE),"")</f>
        <v>80 Mbps</v>
      </c>
      <c r="I138" s="195">
        <f>INDEX(vector.implicit.prices.broadband.after.discount,MATCH('Cálculos auxiliares'!D138,vector.plans.names,0))</f>
        <v>146.026710698849</v>
      </c>
      <c r="J138" s="195">
        <f t="shared" si="15"/>
        <v>146.026710698849</v>
      </c>
      <c r="K138" s="196">
        <f t="shared" si="16"/>
        <v>2.2721996341722474E-2</v>
      </c>
      <c r="M138" s="197">
        <f t="shared" si="20"/>
        <v>80</v>
      </c>
      <c r="Q138" s="91">
        <f t="shared" si="17"/>
        <v>0</v>
      </c>
      <c r="R138" s="91">
        <f t="shared" si="17"/>
        <v>0</v>
      </c>
      <c r="S138" s="91">
        <f t="shared" si="17"/>
        <v>0</v>
      </c>
      <c r="T138" s="91">
        <f t="shared" si="17"/>
        <v>0</v>
      </c>
      <c r="U138" s="91">
        <f t="shared" si="17"/>
        <v>0</v>
      </c>
      <c r="V138" s="91">
        <f t="shared" si="17"/>
        <v>0</v>
      </c>
      <c r="W138" s="91">
        <f t="shared" si="17"/>
        <v>0</v>
      </c>
      <c r="X138" s="91">
        <f t="shared" si="17"/>
        <v>0</v>
      </c>
      <c r="Y138" s="91">
        <f t="shared" si="17"/>
        <v>0</v>
      </c>
      <c r="Z138" s="91">
        <f t="shared" si="17"/>
        <v>0</v>
      </c>
      <c r="AA138" s="91">
        <f t="shared" si="17"/>
        <v>1</v>
      </c>
      <c r="AB138" s="91">
        <f t="shared" si="17"/>
        <v>0</v>
      </c>
      <c r="AC138" s="91">
        <f t="shared" si="17"/>
        <v>0</v>
      </c>
      <c r="AD138" s="91">
        <f t="shared" si="17"/>
        <v>0</v>
      </c>
      <c r="AE138" s="91">
        <f t="shared" si="17"/>
        <v>0</v>
      </c>
      <c r="AF138" s="91">
        <f t="shared" si="17"/>
        <v>0</v>
      </c>
      <c r="AG138" s="91">
        <f t="shared" si="17"/>
        <v>0</v>
      </c>
      <c r="AH138" s="91">
        <f t="shared" si="17"/>
        <v>0</v>
      </c>
      <c r="AI138" s="91">
        <f t="shared" si="17"/>
        <v>0</v>
      </c>
      <c r="AJ138" s="91">
        <f t="shared" si="18"/>
        <v>0</v>
      </c>
      <c r="AK138" s="91">
        <f t="shared" si="18"/>
        <v>0</v>
      </c>
      <c r="AL138" s="91">
        <f t="shared" si="18"/>
        <v>0</v>
      </c>
    </row>
    <row r="139" spans="1:38" ht="12">
      <c r="B139" s="142" t="str">
        <f t="shared" si="19"/>
        <v>Paquete 499Residencial</v>
      </c>
      <c r="C139" s="91">
        <f t="shared" si="21"/>
        <v>6</v>
      </c>
      <c r="D139" s="143" t="str">
        <v>Paquete 499</v>
      </c>
      <c r="F139" s="170" t="str">
        <f>IFERROR(VLOOKUP($D139,'Planes y paquetes'!$C$654:$E$687,2,FALSE),"")</f>
        <v>Residencial</v>
      </c>
      <c r="G139" s="170" t="str">
        <f>IFERROR(VLOOKUP($D139,'Planes y paquetes'!$C$654:$E$687,3,FALSE),"")</f>
        <v>Telefonía fija + Internet fijo</v>
      </c>
      <c r="H139" s="170" t="str">
        <f>IFERROR(VLOOKUP($D139,'Planes y paquetes'!$C$384:$P$417,13,FALSE),"")</f>
        <v>100 Mbps</v>
      </c>
      <c r="I139" s="195">
        <f>INDEX(vector.implicit.prices.broadband.after.discount,MATCH('Cálculos auxiliares'!D139,vector.plans.names,0))</f>
        <v>205.6388515843345</v>
      </c>
      <c r="J139" s="195">
        <f t="shared" si="15"/>
        <v>205.6388515843345</v>
      </c>
      <c r="K139" s="196">
        <f t="shared" si="16"/>
        <v>2.6011984212330346E-2</v>
      </c>
      <c r="M139" s="197">
        <f t="shared" si="20"/>
        <v>100</v>
      </c>
      <c r="Q139" s="91">
        <f t="shared" si="17"/>
        <v>0</v>
      </c>
      <c r="R139" s="91">
        <f t="shared" si="17"/>
        <v>0</v>
      </c>
      <c r="S139" s="91">
        <f t="shared" si="17"/>
        <v>0</v>
      </c>
      <c r="T139" s="91">
        <f t="shared" si="17"/>
        <v>0</v>
      </c>
      <c r="U139" s="91">
        <f t="shared" si="17"/>
        <v>0</v>
      </c>
      <c r="V139" s="91">
        <f t="shared" si="17"/>
        <v>0</v>
      </c>
      <c r="W139" s="91">
        <f t="shared" si="17"/>
        <v>0</v>
      </c>
      <c r="X139" s="91">
        <f t="shared" si="17"/>
        <v>0</v>
      </c>
      <c r="Y139" s="91">
        <f t="shared" si="17"/>
        <v>0</v>
      </c>
      <c r="Z139" s="91">
        <f t="shared" si="17"/>
        <v>0</v>
      </c>
      <c r="AA139" s="91">
        <f t="shared" si="17"/>
        <v>0</v>
      </c>
      <c r="AB139" s="91">
        <f t="shared" si="17"/>
        <v>1</v>
      </c>
      <c r="AC139" s="91">
        <f t="shared" si="17"/>
        <v>0</v>
      </c>
      <c r="AD139" s="91">
        <f t="shared" si="17"/>
        <v>0</v>
      </c>
      <c r="AE139" s="91">
        <f t="shared" si="17"/>
        <v>0</v>
      </c>
      <c r="AF139" s="91">
        <f t="shared" si="17"/>
        <v>0</v>
      </c>
      <c r="AG139" s="91">
        <f t="shared" si="17"/>
        <v>0</v>
      </c>
      <c r="AH139" s="91">
        <f t="shared" si="17"/>
        <v>0</v>
      </c>
      <c r="AI139" s="91">
        <f t="shared" si="17"/>
        <v>0</v>
      </c>
      <c r="AJ139" s="91">
        <f t="shared" si="18"/>
        <v>0</v>
      </c>
      <c r="AK139" s="91">
        <f t="shared" si="18"/>
        <v>0</v>
      </c>
      <c r="AL139" s="91">
        <f t="shared" si="18"/>
        <v>0</v>
      </c>
    </row>
    <row r="140" spans="1:38" ht="12">
      <c r="B140" s="142" t="str">
        <f t="shared" si="19"/>
        <v>Paquete 599Residencial</v>
      </c>
      <c r="C140" s="91">
        <f t="shared" si="21"/>
        <v>7</v>
      </c>
      <c r="D140" s="143" t="str">
        <v>Paquete 599</v>
      </c>
      <c r="F140" s="170" t="str">
        <f>IFERROR(VLOOKUP($D140,'Planes y paquetes'!$C$654:$E$687,2,FALSE),"")</f>
        <v>Residencial</v>
      </c>
      <c r="G140" s="170" t="str">
        <f>IFERROR(VLOOKUP($D140,'Planes y paquetes'!$C$654:$E$687,3,FALSE),"")</f>
        <v>Telefonía fija + Internet fijo</v>
      </c>
      <c r="H140" s="170" t="str">
        <f>IFERROR(VLOOKUP($D140,'Planes y paquetes'!$C$384:$P$417,13,FALSE),"")</f>
        <v>200 Mbps</v>
      </c>
      <c r="I140" s="195">
        <f>INDEX(vector.implicit.prices.broadband.after.discount,MATCH('Cálculos auxiliares'!D140,vector.plans.names,0))</f>
        <v>348.2076168467795</v>
      </c>
      <c r="J140" s="195">
        <f t="shared" si="15"/>
        <v>348.2076168467795</v>
      </c>
      <c r="K140" s="196">
        <f t="shared" si="16"/>
        <v>3.9592540763256551E-2</v>
      </c>
      <c r="M140" s="197">
        <f t="shared" si="20"/>
        <v>200</v>
      </c>
      <c r="Q140" s="91">
        <f t="shared" si="17"/>
        <v>0</v>
      </c>
      <c r="R140" s="91">
        <f t="shared" si="17"/>
        <v>0</v>
      </c>
      <c r="S140" s="91">
        <f t="shared" si="17"/>
        <v>0</v>
      </c>
      <c r="T140" s="91">
        <f t="shared" si="17"/>
        <v>0</v>
      </c>
      <c r="U140" s="91">
        <f t="shared" si="17"/>
        <v>0</v>
      </c>
      <c r="V140" s="91">
        <f t="shared" si="17"/>
        <v>0</v>
      </c>
      <c r="W140" s="91">
        <f t="shared" si="17"/>
        <v>0</v>
      </c>
      <c r="X140" s="91">
        <f t="shared" si="17"/>
        <v>0</v>
      </c>
      <c r="Y140" s="91">
        <f t="shared" si="17"/>
        <v>0</v>
      </c>
      <c r="Z140" s="91">
        <f t="shared" si="17"/>
        <v>0</v>
      </c>
      <c r="AA140" s="91">
        <f t="shared" si="17"/>
        <v>0</v>
      </c>
      <c r="AB140" s="91">
        <f t="shared" si="17"/>
        <v>0</v>
      </c>
      <c r="AC140" s="91">
        <f t="shared" si="17"/>
        <v>0</v>
      </c>
      <c r="AD140" s="91">
        <f t="shared" si="17"/>
        <v>0</v>
      </c>
      <c r="AE140" s="91">
        <f t="shared" si="17"/>
        <v>1</v>
      </c>
      <c r="AF140" s="91">
        <f t="shared" si="17"/>
        <v>0</v>
      </c>
      <c r="AG140" s="91">
        <f t="shared" si="17"/>
        <v>0</v>
      </c>
      <c r="AH140" s="91">
        <f t="shared" si="17"/>
        <v>0</v>
      </c>
      <c r="AI140" s="91">
        <f t="shared" si="17"/>
        <v>0</v>
      </c>
      <c r="AJ140" s="91">
        <f t="shared" si="18"/>
        <v>0</v>
      </c>
      <c r="AK140" s="91">
        <f t="shared" si="18"/>
        <v>0</v>
      </c>
      <c r="AL140" s="91">
        <f t="shared" si="18"/>
        <v>0</v>
      </c>
    </row>
    <row r="141" spans="1:38" ht="12">
      <c r="B141" s="142" t="str">
        <f t="shared" si="19"/>
        <v>Paquete 649Residencial</v>
      </c>
      <c r="C141" s="91">
        <f t="shared" si="21"/>
        <v>8</v>
      </c>
      <c r="D141" s="143" t="str">
        <v>Paquete 649</v>
      </c>
      <c r="F141" s="170" t="str">
        <f>IFERROR(VLOOKUP($D141,'Planes y paquetes'!$C$654:$E$687,2,FALSE),"")</f>
        <v>Residencial</v>
      </c>
      <c r="G141" s="170" t="str">
        <f>IFERROR(VLOOKUP($D141,'Planes y paquetes'!$C$654:$E$687,3,FALSE),"")</f>
        <v>Telefonía fija + Internet fijo</v>
      </c>
      <c r="H141" s="170" t="str">
        <f>IFERROR(VLOOKUP($D141,'Planes y paquetes'!$C$384:$P$417,13,FALSE),"")</f>
        <v>300 Mbps</v>
      </c>
      <c r="I141" s="195">
        <f>INDEX(vector.implicit.prices.broadband.after.discount,MATCH('Cálculos auxiliares'!D141,vector.plans.names,0))</f>
        <v>263.41363517022086</v>
      </c>
      <c r="J141" s="195">
        <f>IF(G141="Internet fijo",I141-VLOOKUP(H141,weighted.average.local.loop.by.plan.by.tx.media,5,FALSE),I141)</f>
        <v>263.41363517022086</v>
      </c>
      <c r="K141" s="196">
        <f t="shared" si="16"/>
        <v>1.8484085750575491E-2</v>
      </c>
      <c r="M141" s="197">
        <f t="shared" si="20"/>
        <v>300</v>
      </c>
      <c r="Q141" s="91">
        <f t="shared" si="17"/>
        <v>0</v>
      </c>
      <c r="R141" s="91">
        <f t="shared" si="17"/>
        <v>0</v>
      </c>
      <c r="S141" s="91">
        <f t="shared" si="17"/>
        <v>0</v>
      </c>
      <c r="T141" s="91">
        <f t="shared" si="17"/>
        <v>0</v>
      </c>
      <c r="U141" s="91">
        <f t="shared" si="17"/>
        <v>0</v>
      </c>
      <c r="V141" s="91">
        <f t="shared" si="17"/>
        <v>0</v>
      </c>
      <c r="W141" s="91">
        <f t="shared" si="17"/>
        <v>0</v>
      </c>
      <c r="X141" s="91">
        <f t="shared" si="17"/>
        <v>0</v>
      </c>
      <c r="Y141" s="91">
        <f t="shared" si="17"/>
        <v>0</v>
      </c>
      <c r="Z141" s="91">
        <f t="shared" si="17"/>
        <v>0</v>
      </c>
      <c r="AA141" s="91">
        <f t="shared" si="17"/>
        <v>0</v>
      </c>
      <c r="AB141" s="91">
        <f t="shared" si="17"/>
        <v>0</v>
      </c>
      <c r="AC141" s="91">
        <f t="shared" si="17"/>
        <v>0</v>
      </c>
      <c r="AD141" s="91">
        <f t="shared" si="17"/>
        <v>0</v>
      </c>
      <c r="AE141" s="91">
        <f t="shared" si="17"/>
        <v>0</v>
      </c>
      <c r="AF141" s="91">
        <f t="shared" si="17"/>
        <v>0</v>
      </c>
      <c r="AG141" s="91">
        <f t="shared" si="17"/>
        <v>1</v>
      </c>
      <c r="AH141" s="91">
        <f t="shared" si="17"/>
        <v>0</v>
      </c>
      <c r="AI141" s="91">
        <f t="shared" si="17"/>
        <v>0</v>
      </c>
      <c r="AJ141" s="91">
        <f t="shared" si="18"/>
        <v>0</v>
      </c>
      <c r="AK141" s="91">
        <f t="shared" si="18"/>
        <v>0</v>
      </c>
      <c r="AL141" s="91">
        <f t="shared" si="18"/>
        <v>0</v>
      </c>
    </row>
    <row r="142" spans="1:38" ht="12">
      <c r="B142" s="142" t="str">
        <f t="shared" si="19"/>
        <v>Paquete Infinitum 999Residencial</v>
      </c>
      <c r="C142" s="91">
        <f t="shared" si="21"/>
        <v>9</v>
      </c>
      <c r="D142" s="143" t="str">
        <v>Paquete Infinitum 999</v>
      </c>
      <c r="F142" s="170" t="str">
        <f>IFERROR(VLOOKUP($D142,'Planes y paquetes'!$C$654:$E$687,2,FALSE),"")</f>
        <v>Residencial</v>
      </c>
      <c r="G142" s="170" t="str">
        <f>IFERROR(VLOOKUP($D142,'Planes y paquetes'!$C$654:$E$687,3,FALSE),"")</f>
        <v>Telefonía fija + Internet fijo</v>
      </c>
      <c r="H142" s="170" t="str">
        <f>IFERROR(VLOOKUP($D142,'Planes y paquetes'!$C$384:$P$417,13,FALSE),"")</f>
        <v>750 Mbps</v>
      </c>
      <c r="I142" s="195">
        <f>INDEX(vector.implicit.prices.broadband.after.discount,MATCH('Cálculos auxiliares'!D142,vector.plans.names,0))</f>
        <v>650.89010808833734</v>
      </c>
      <c r="J142" s="195">
        <f t="shared" si="15"/>
        <v>650.89010808833734</v>
      </c>
      <c r="K142" s="196">
        <f t="shared" si="16"/>
        <v>6.0923924608238559E-3</v>
      </c>
      <c r="M142" s="197">
        <f t="shared" si="20"/>
        <v>750</v>
      </c>
      <c r="Q142" s="91">
        <f t="shared" si="17"/>
        <v>0</v>
      </c>
      <c r="R142" s="91">
        <f t="shared" si="17"/>
        <v>0</v>
      </c>
      <c r="S142" s="91">
        <f t="shared" si="17"/>
        <v>0</v>
      </c>
      <c r="T142" s="91">
        <f t="shared" si="17"/>
        <v>0</v>
      </c>
      <c r="U142" s="91">
        <f t="shared" si="17"/>
        <v>0</v>
      </c>
      <c r="V142" s="91">
        <f t="shared" si="17"/>
        <v>0</v>
      </c>
      <c r="W142" s="91">
        <f t="shared" si="17"/>
        <v>0</v>
      </c>
      <c r="X142" s="91">
        <f t="shared" si="17"/>
        <v>0</v>
      </c>
      <c r="Y142" s="91">
        <f t="shared" si="17"/>
        <v>0</v>
      </c>
      <c r="Z142" s="91">
        <f t="shared" si="17"/>
        <v>0</v>
      </c>
      <c r="AA142" s="91">
        <f t="shared" si="17"/>
        <v>0</v>
      </c>
      <c r="AB142" s="91">
        <f t="shared" si="17"/>
        <v>0</v>
      </c>
      <c r="AC142" s="91">
        <f t="shared" si="17"/>
        <v>0</v>
      </c>
      <c r="AD142" s="91">
        <f t="shared" si="17"/>
        <v>0</v>
      </c>
      <c r="AE142" s="91">
        <f t="shared" si="17"/>
        <v>0</v>
      </c>
      <c r="AF142" s="91">
        <f t="shared" si="17"/>
        <v>0</v>
      </c>
      <c r="AG142" s="91">
        <f t="shared" si="17"/>
        <v>0</v>
      </c>
      <c r="AH142" s="91">
        <f t="shared" si="17"/>
        <v>0</v>
      </c>
      <c r="AI142" s="91">
        <f t="shared" si="17"/>
        <v>0</v>
      </c>
      <c r="AJ142" s="91">
        <f t="shared" si="18"/>
        <v>0</v>
      </c>
      <c r="AK142" s="91">
        <f t="shared" si="18"/>
        <v>1</v>
      </c>
      <c r="AL142" s="91">
        <f t="shared" si="18"/>
        <v>0</v>
      </c>
    </row>
    <row r="143" spans="1:38" ht="12">
      <c r="B143" s="142" t="str">
        <f t="shared" si="19"/>
        <v>Paquete 1399Residencial</v>
      </c>
      <c r="C143" s="91">
        <f t="shared" si="21"/>
        <v>10</v>
      </c>
      <c r="D143" s="143" t="str">
        <v>Paquete 1399</v>
      </c>
      <c r="F143" s="170" t="str">
        <f>IFERROR(VLOOKUP($D143,'Planes y paquetes'!$C$654:$E$687,2,FALSE),"")</f>
        <v>Residencial</v>
      </c>
      <c r="G143" s="170" t="str">
        <f>IFERROR(VLOOKUP($D143,'Planes y paquetes'!$C$654:$E$687,3,FALSE),"")</f>
        <v>Telefonía fija + Internet fijo</v>
      </c>
      <c r="H143" s="170" t="str">
        <f>IFERROR(VLOOKUP($D143,'Planes y paquetes'!$C$384:$P$417,13,FALSE),"")</f>
        <v>1000 Mbps</v>
      </c>
      <c r="I143" s="195">
        <f>INDEX(vector.implicit.prices.broadband.after.discount,MATCH('Cálculos auxiliares'!D143,vector.plans.names,0))</f>
        <v>1116.7284671861291</v>
      </c>
      <c r="J143" s="195">
        <f t="shared" si="15"/>
        <v>1116.7284671861291</v>
      </c>
      <c r="K143" s="196">
        <f t="shared" si="16"/>
        <v>1.4431994441894546E-3</v>
      </c>
      <c r="M143" s="197">
        <f t="shared" si="20"/>
        <v>1000</v>
      </c>
      <c r="Q143" s="91">
        <f t="shared" si="17"/>
        <v>0</v>
      </c>
      <c r="R143" s="91">
        <f t="shared" si="17"/>
        <v>0</v>
      </c>
      <c r="S143" s="91">
        <f t="shared" si="17"/>
        <v>0</v>
      </c>
      <c r="T143" s="91">
        <f t="shared" si="17"/>
        <v>0</v>
      </c>
      <c r="U143" s="91">
        <f t="shared" si="17"/>
        <v>0</v>
      </c>
      <c r="V143" s="91">
        <f t="shared" si="17"/>
        <v>0</v>
      </c>
      <c r="W143" s="91">
        <f t="shared" si="17"/>
        <v>0</v>
      </c>
      <c r="X143" s="91">
        <f t="shared" si="17"/>
        <v>0</v>
      </c>
      <c r="Y143" s="91">
        <f t="shared" si="17"/>
        <v>0</v>
      </c>
      <c r="Z143" s="91">
        <f t="shared" si="17"/>
        <v>0</v>
      </c>
      <c r="AA143" s="91">
        <f t="shared" si="17"/>
        <v>0</v>
      </c>
      <c r="AB143" s="91">
        <f t="shared" si="17"/>
        <v>0</v>
      </c>
      <c r="AC143" s="91">
        <f t="shared" si="17"/>
        <v>0</v>
      </c>
      <c r="AD143" s="91">
        <f t="shared" si="17"/>
        <v>0</v>
      </c>
      <c r="AE143" s="91">
        <f t="shared" si="17"/>
        <v>0</v>
      </c>
      <c r="AF143" s="91">
        <f t="shared" si="17"/>
        <v>0</v>
      </c>
      <c r="AG143" s="91">
        <f t="shared" si="17"/>
        <v>0</v>
      </c>
      <c r="AH143" s="91">
        <f t="shared" si="17"/>
        <v>0</v>
      </c>
      <c r="AI143" s="91">
        <f t="shared" si="17"/>
        <v>0</v>
      </c>
      <c r="AJ143" s="91">
        <f t="shared" si="18"/>
        <v>0</v>
      </c>
      <c r="AK143" s="91">
        <f t="shared" si="18"/>
        <v>0</v>
      </c>
      <c r="AL143" s="91">
        <f t="shared" si="18"/>
        <v>1</v>
      </c>
    </row>
    <row r="144" spans="1:38" ht="12">
      <c r="B144" s="142" t="str">
        <f t="shared" si="19"/>
        <v>Infinitum 279Residencial</v>
      </c>
      <c r="C144" s="91">
        <f t="shared" si="21"/>
        <v>11</v>
      </c>
      <c r="D144" s="143" t="str">
        <v>Infinitum 279</v>
      </c>
      <c r="F144" s="170" t="str">
        <f>IFERROR(VLOOKUP($D144,'Planes y paquetes'!$C$654:$E$687,2,FALSE),"")</f>
        <v>Residencial</v>
      </c>
      <c r="G144" s="170" t="str">
        <f>IFERROR(VLOOKUP($D144,'Planes y paquetes'!$C$654:$E$687,3,FALSE),"")</f>
        <v>Internet fijo</v>
      </c>
      <c r="H144" s="170" t="str">
        <f>IFERROR(VLOOKUP($D144,'Planes y paquetes'!$C$384:$P$417,13,FALSE),"")</f>
        <v>30 Mbps</v>
      </c>
      <c r="I144" s="195">
        <f>INDEX(vector.implicit.prices.broadband.after.discount,MATCH('Cálculos auxiliares'!D144,vector.plans.names,0))</f>
        <v>250</v>
      </c>
      <c r="J144" s="195">
        <f t="shared" si="15"/>
        <v>147.49333434871278</v>
      </c>
      <c r="K144" s="196">
        <f t="shared" si="16"/>
        <v>2.5962203108893266E-3</v>
      </c>
      <c r="M144" s="197">
        <f t="shared" si="20"/>
        <v>30</v>
      </c>
      <c r="Q144" s="91">
        <f t="shared" si="17"/>
        <v>0</v>
      </c>
      <c r="R144" s="91">
        <f t="shared" si="17"/>
        <v>0</v>
      </c>
      <c r="S144" s="91">
        <f t="shared" si="17"/>
        <v>0</v>
      </c>
      <c r="T144" s="91">
        <f t="shared" si="17"/>
        <v>0</v>
      </c>
      <c r="U144" s="91">
        <f t="shared" si="17"/>
        <v>0</v>
      </c>
      <c r="V144" s="91">
        <f t="shared" si="17"/>
        <v>1</v>
      </c>
      <c r="W144" s="91">
        <f t="shared" si="17"/>
        <v>0</v>
      </c>
      <c r="X144" s="91">
        <f t="shared" si="17"/>
        <v>0</v>
      </c>
      <c r="Y144" s="91">
        <f t="shared" si="17"/>
        <v>0</v>
      </c>
      <c r="Z144" s="91">
        <f t="shared" si="17"/>
        <v>0</v>
      </c>
      <c r="AA144" s="91">
        <f t="shared" si="17"/>
        <v>0</v>
      </c>
      <c r="AB144" s="91">
        <f t="shared" si="17"/>
        <v>0</v>
      </c>
      <c r="AC144" s="91">
        <f t="shared" si="17"/>
        <v>0</v>
      </c>
      <c r="AD144" s="91">
        <f t="shared" si="17"/>
        <v>0</v>
      </c>
      <c r="AE144" s="91">
        <f t="shared" si="17"/>
        <v>0</v>
      </c>
      <c r="AF144" s="91">
        <f t="shared" si="17"/>
        <v>0</v>
      </c>
      <c r="AG144" s="91">
        <f t="shared" si="17"/>
        <v>0</v>
      </c>
      <c r="AH144" s="91">
        <f t="shared" si="17"/>
        <v>0</v>
      </c>
      <c r="AI144" s="91">
        <f t="shared" si="17"/>
        <v>0</v>
      </c>
      <c r="AJ144" s="91">
        <f t="shared" si="18"/>
        <v>0</v>
      </c>
      <c r="AK144" s="91">
        <f t="shared" si="18"/>
        <v>0</v>
      </c>
      <c r="AL144" s="91">
        <f t="shared" si="18"/>
        <v>0</v>
      </c>
    </row>
    <row r="145" spans="2:38" ht="12">
      <c r="B145" s="142" t="str">
        <f t="shared" si="19"/>
        <v>Infinitum 299 RResidencial</v>
      </c>
      <c r="C145" s="91">
        <f t="shared" si="21"/>
        <v>12</v>
      </c>
      <c r="D145" s="143" t="str">
        <v>Infinitum 299 R</v>
      </c>
      <c r="F145" s="170" t="str">
        <f>IFERROR(VLOOKUP($D145,'Planes y paquetes'!$C$654:$E$687,2,FALSE),"")</f>
        <v>Residencial</v>
      </c>
      <c r="G145" s="170" t="str">
        <f>IFERROR(VLOOKUP($D145,'Planes y paquetes'!$C$654:$E$687,3,FALSE),"")</f>
        <v>Internet fijo</v>
      </c>
      <c r="H145" s="170" t="str">
        <f>IFERROR(VLOOKUP($D145,'Planes y paquetes'!$C$384:$P$417,13,FALSE),"")</f>
        <v>40 Mbps</v>
      </c>
      <c r="I145" s="195">
        <f>INDEX(vector.implicit.prices.broadband.after.discount,MATCH('Cálculos auxiliares'!D145,vector.plans.names,0))</f>
        <v>282</v>
      </c>
      <c r="J145" s="195">
        <f t="shared" si="15"/>
        <v>179.49333434871278</v>
      </c>
      <c r="K145" s="196">
        <f t="shared" si="16"/>
        <v>2.5524129398646984E-5</v>
      </c>
      <c r="M145" s="197">
        <f t="shared" si="20"/>
        <v>40</v>
      </c>
      <c r="Q145" s="91">
        <f t="shared" si="17"/>
        <v>0</v>
      </c>
      <c r="R145" s="91">
        <f t="shared" si="17"/>
        <v>0</v>
      </c>
      <c r="S145" s="91">
        <f t="shared" si="17"/>
        <v>0</v>
      </c>
      <c r="T145" s="91">
        <f t="shared" si="17"/>
        <v>0</v>
      </c>
      <c r="U145" s="91">
        <f t="shared" si="17"/>
        <v>0</v>
      </c>
      <c r="V145" s="91">
        <f t="shared" si="17"/>
        <v>0</v>
      </c>
      <c r="W145" s="91">
        <f t="shared" si="17"/>
        <v>1</v>
      </c>
      <c r="X145" s="91">
        <f t="shared" si="17"/>
        <v>0</v>
      </c>
      <c r="Y145" s="91">
        <f t="shared" si="17"/>
        <v>0</v>
      </c>
      <c r="Z145" s="91">
        <f t="shared" si="17"/>
        <v>0</v>
      </c>
      <c r="AA145" s="91">
        <f t="shared" si="17"/>
        <v>0</v>
      </c>
      <c r="AB145" s="91">
        <f t="shared" si="17"/>
        <v>0</v>
      </c>
      <c r="AC145" s="91">
        <f t="shared" si="17"/>
        <v>0</v>
      </c>
      <c r="AD145" s="91">
        <f t="shared" si="17"/>
        <v>0</v>
      </c>
      <c r="AE145" s="91">
        <f t="shared" si="17"/>
        <v>0</v>
      </c>
      <c r="AF145" s="91">
        <f t="shared" si="17"/>
        <v>0</v>
      </c>
      <c r="AG145" s="91">
        <f t="shared" si="17"/>
        <v>0</v>
      </c>
      <c r="AH145" s="91">
        <f t="shared" si="17"/>
        <v>0</v>
      </c>
      <c r="AI145" s="91">
        <f t="shared" si="17"/>
        <v>0</v>
      </c>
      <c r="AJ145" s="91">
        <f t="shared" si="18"/>
        <v>0</v>
      </c>
      <c r="AK145" s="91">
        <f t="shared" si="18"/>
        <v>0</v>
      </c>
      <c r="AL145" s="91">
        <f t="shared" si="18"/>
        <v>0</v>
      </c>
    </row>
    <row r="146" spans="2:38" ht="12">
      <c r="B146" s="142" t="str">
        <f t="shared" si="19"/>
        <v>Infinitum 349Residencial</v>
      </c>
      <c r="C146" s="91">
        <f t="shared" si="21"/>
        <v>13</v>
      </c>
      <c r="D146" s="143" t="str">
        <v>Infinitum 349</v>
      </c>
      <c r="F146" s="170" t="str">
        <f>IFERROR(VLOOKUP($D146,'Planes y paquetes'!$C$654:$E$687,2,FALSE),"")</f>
        <v>Residencial</v>
      </c>
      <c r="G146" s="170" t="str">
        <f>IFERROR(VLOOKUP($D146,'Planes y paquetes'!$C$654:$E$687,3,FALSE),"")</f>
        <v>Internet fijo</v>
      </c>
      <c r="H146" s="170" t="str">
        <f>IFERROR(VLOOKUP($D146,'Planes y paquetes'!$C$384:$P$417,13,FALSE),"")</f>
        <v>60 Mbps</v>
      </c>
      <c r="I146" s="195">
        <f>INDEX(vector.implicit.prices.broadband.after.discount,MATCH('Cálculos auxiliares'!D146,vector.plans.names,0))</f>
        <v>371.16679129190078</v>
      </c>
      <c r="J146" s="195">
        <f t="shared" si="15"/>
        <v>268.66012564061356</v>
      </c>
      <c r="K146" s="196">
        <f t="shared" si="16"/>
        <v>0.13803204798825963</v>
      </c>
      <c r="M146" s="197">
        <f t="shared" si="20"/>
        <v>60</v>
      </c>
      <c r="Q146" s="91">
        <f t="shared" si="17"/>
        <v>0</v>
      </c>
      <c r="R146" s="91">
        <f t="shared" si="17"/>
        <v>0</v>
      </c>
      <c r="S146" s="91">
        <f t="shared" si="17"/>
        <v>0</v>
      </c>
      <c r="T146" s="91">
        <f t="shared" si="17"/>
        <v>0</v>
      </c>
      <c r="U146" s="91">
        <f t="shared" si="17"/>
        <v>0</v>
      </c>
      <c r="V146" s="91">
        <f t="shared" si="17"/>
        <v>0</v>
      </c>
      <c r="W146" s="91">
        <f t="shared" si="17"/>
        <v>0</v>
      </c>
      <c r="X146" s="91">
        <f t="shared" si="17"/>
        <v>0</v>
      </c>
      <c r="Y146" s="91">
        <f t="shared" si="17"/>
        <v>1</v>
      </c>
      <c r="Z146" s="91">
        <f t="shared" si="17"/>
        <v>0</v>
      </c>
      <c r="AA146" s="91">
        <f t="shared" si="17"/>
        <v>0</v>
      </c>
      <c r="AB146" s="91">
        <f t="shared" si="17"/>
        <v>0</v>
      </c>
      <c r="AC146" s="91">
        <f t="shared" si="17"/>
        <v>0</v>
      </c>
      <c r="AD146" s="91">
        <f t="shared" si="17"/>
        <v>0</v>
      </c>
      <c r="AE146" s="91">
        <f t="shared" si="17"/>
        <v>0</v>
      </c>
      <c r="AF146" s="91">
        <f t="shared" si="17"/>
        <v>0</v>
      </c>
      <c r="AG146" s="91">
        <f t="shared" si="17"/>
        <v>0</v>
      </c>
      <c r="AH146" s="91">
        <f t="shared" si="17"/>
        <v>0</v>
      </c>
      <c r="AI146" s="91">
        <f t="shared" si="17"/>
        <v>0</v>
      </c>
      <c r="AJ146" s="91">
        <f t="shared" si="18"/>
        <v>0</v>
      </c>
      <c r="AK146" s="91">
        <f t="shared" si="18"/>
        <v>0</v>
      </c>
      <c r="AL146" s="91">
        <f t="shared" si="18"/>
        <v>0</v>
      </c>
    </row>
    <row r="147" spans="2:38" ht="12">
      <c r="B147" s="142" t="str">
        <f t="shared" si="19"/>
        <v>Infinitum 399Residencial</v>
      </c>
      <c r="C147" s="91">
        <f t="shared" si="21"/>
        <v>14</v>
      </c>
      <c r="D147" s="143" t="str">
        <v>Infinitum 399</v>
      </c>
      <c r="F147" s="170" t="str">
        <f>IFERROR(VLOOKUP($D147,'Planes y paquetes'!$C$654:$E$687,2,FALSE),"")</f>
        <v>Residencial</v>
      </c>
      <c r="G147" s="170" t="str">
        <f>IFERROR(VLOOKUP($D147,'Planes y paquetes'!$C$654:$E$687,3,FALSE),"")</f>
        <v>Internet fijo</v>
      </c>
      <c r="H147" s="170" t="str">
        <f>IFERROR(VLOOKUP($D147,'Planes y paquetes'!$C$384:$P$417,13,FALSE),"")</f>
        <v>80 Mbps</v>
      </c>
      <c r="I147" s="195">
        <f>INDEX(vector.implicit.prices.broadband.after.discount,MATCH('Cálculos auxiliares'!D147,vector.plans.names,0))</f>
        <v>278.36908298398066</v>
      </c>
      <c r="J147" s="195">
        <f t="shared" si="15"/>
        <v>175.86241733269344</v>
      </c>
      <c r="K147" s="196">
        <f t="shared" si="16"/>
        <v>1.6846830514078592E-2</v>
      </c>
      <c r="M147" s="197">
        <f t="shared" si="20"/>
        <v>80</v>
      </c>
      <c r="Q147" s="91">
        <f t="shared" si="17"/>
        <v>0</v>
      </c>
      <c r="R147" s="91">
        <f t="shared" si="17"/>
        <v>0</v>
      </c>
      <c r="S147" s="91">
        <f t="shared" si="17"/>
        <v>0</v>
      </c>
      <c r="T147" s="91">
        <f t="shared" si="17"/>
        <v>0</v>
      </c>
      <c r="U147" s="91">
        <f t="shared" si="17"/>
        <v>0</v>
      </c>
      <c r="V147" s="91">
        <f t="shared" si="17"/>
        <v>0</v>
      </c>
      <c r="W147" s="91">
        <f t="shared" si="17"/>
        <v>0</v>
      </c>
      <c r="X147" s="91">
        <f t="shared" si="17"/>
        <v>0</v>
      </c>
      <c r="Y147" s="91">
        <f t="shared" ref="Y147:AL162" si="22">IF(Y$133=$M147,1,0)</f>
        <v>0</v>
      </c>
      <c r="Z147" s="91">
        <f t="shared" si="22"/>
        <v>0</v>
      </c>
      <c r="AA147" s="91">
        <f t="shared" si="22"/>
        <v>1</v>
      </c>
      <c r="AB147" s="91">
        <f t="shared" si="22"/>
        <v>0</v>
      </c>
      <c r="AC147" s="91">
        <f t="shared" si="22"/>
        <v>0</v>
      </c>
      <c r="AD147" s="91">
        <f t="shared" si="22"/>
        <v>0</v>
      </c>
      <c r="AE147" s="91">
        <f t="shared" si="22"/>
        <v>0</v>
      </c>
      <c r="AF147" s="91">
        <f t="shared" si="22"/>
        <v>0</v>
      </c>
      <c r="AG147" s="91">
        <f t="shared" si="22"/>
        <v>0</v>
      </c>
      <c r="AH147" s="91">
        <f t="shared" si="22"/>
        <v>0</v>
      </c>
      <c r="AI147" s="91">
        <f t="shared" si="22"/>
        <v>0</v>
      </c>
      <c r="AJ147" s="91">
        <f t="shared" si="18"/>
        <v>0</v>
      </c>
      <c r="AK147" s="91">
        <f t="shared" si="18"/>
        <v>0</v>
      </c>
      <c r="AL147" s="91">
        <f t="shared" si="18"/>
        <v>0</v>
      </c>
    </row>
    <row r="148" spans="2:38" ht="12">
      <c r="B148" s="142" t="str">
        <f t="shared" si="19"/>
        <v>Infinitum 449Residencial</v>
      </c>
      <c r="C148" s="91">
        <f t="shared" si="21"/>
        <v>15</v>
      </c>
      <c r="D148" s="143" t="str">
        <v>Infinitum 449</v>
      </c>
      <c r="F148" s="170" t="str">
        <f>IFERROR(VLOOKUP($D148,'Planes y paquetes'!$C$654:$E$687,2,FALSE),"")</f>
        <v>Residencial</v>
      </c>
      <c r="G148" s="170" t="str">
        <f>IFERROR(VLOOKUP($D148,'Planes y paquetes'!$C$654:$E$687,3,FALSE),"")</f>
        <v>Internet fijo</v>
      </c>
      <c r="H148" s="170" t="str">
        <f>IFERROR(VLOOKUP($D148,'Planes y paquetes'!$C$384:$P$417,13,FALSE),"")</f>
        <v>100 Mbps</v>
      </c>
      <c r="I148" s="195">
        <f>INDEX(vector.implicit.prices.broadband.after.discount,MATCH('Cálculos auxiliares'!D148,vector.plans.names,0))</f>
        <v>265.40743531048071</v>
      </c>
      <c r="J148" s="195">
        <f t="shared" si="15"/>
        <v>162.90076965919349</v>
      </c>
      <c r="K148" s="196">
        <f t="shared" si="16"/>
        <v>1.3055682698505091E-2</v>
      </c>
      <c r="M148" s="197">
        <f t="shared" si="20"/>
        <v>100</v>
      </c>
      <c r="Q148" s="91">
        <f t="shared" ref="Q148:AF163" si="23">IF(Q$133=$M148,1,0)</f>
        <v>0</v>
      </c>
      <c r="R148" s="91">
        <f t="shared" si="23"/>
        <v>0</v>
      </c>
      <c r="S148" s="91">
        <f t="shared" si="23"/>
        <v>0</v>
      </c>
      <c r="T148" s="91">
        <f t="shared" si="23"/>
        <v>0</v>
      </c>
      <c r="U148" s="91">
        <f t="shared" si="23"/>
        <v>0</v>
      </c>
      <c r="V148" s="91">
        <f t="shared" si="23"/>
        <v>0</v>
      </c>
      <c r="W148" s="91">
        <f t="shared" si="23"/>
        <v>0</v>
      </c>
      <c r="X148" s="91">
        <f t="shared" si="23"/>
        <v>0</v>
      </c>
      <c r="Y148" s="91">
        <f t="shared" si="23"/>
        <v>0</v>
      </c>
      <c r="Z148" s="91">
        <f t="shared" si="23"/>
        <v>0</v>
      </c>
      <c r="AA148" s="91">
        <f t="shared" si="23"/>
        <v>0</v>
      </c>
      <c r="AB148" s="91">
        <f t="shared" si="22"/>
        <v>1</v>
      </c>
      <c r="AC148" s="91">
        <f t="shared" si="22"/>
        <v>0</v>
      </c>
      <c r="AD148" s="91">
        <f t="shared" si="22"/>
        <v>0</v>
      </c>
      <c r="AE148" s="91">
        <f t="shared" si="22"/>
        <v>0</v>
      </c>
      <c r="AF148" s="91">
        <f t="shared" si="22"/>
        <v>0</v>
      </c>
      <c r="AG148" s="91">
        <f t="shared" si="22"/>
        <v>0</v>
      </c>
      <c r="AH148" s="91">
        <f t="shared" si="22"/>
        <v>0</v>
      </c>
      <c r="AI148" s="91">
        <f t="shared" si="22"/>
        <v>0</v>
      </c>
      <c r="AJ148" s="91">
        <f t="shared" si="18"/>
        <v>0</v>
      </c>
      <c r="AK148" s="91">
        <f t="shared" si="18"/>
        <v>0</v>
      </c>
      <c r="AL148" s="91">
        <f t="shared" si="18"/>
        <v>0</v>
      </c>
    </row>
    <row r="149" spans="2:38" ht="12">
      <c r="B149" s="142" t="str">
        <f t="shared" si="19"/>
        <v>Infinitum 549Residencial</v>
      </c>
      <c r="C149" s="91">
        <f t="shared" si="21"/>
        <v>16</v>
      </c>
      <c r="D149" s="143" t="str">
        <v>Infinitum 549</v>
      </c>
      <c r="F149" s="170" t="str">
        <f>IFERROR(VLOOKUP($D149,'Planes y paquetes'!$C$654:$E$687,2,FALSE),"")</f>
        <v>Residencial</v>
      </c>
      <c r="G149" s="170" t="str">
        <f>IFERROR(VLOOKUP($D149,'Planes y paquetes'!$C$654:$E$687,3,FALSE),"")</f>
        <v>Internet fijo</v>
      </c>
      <c r="H149" s="170" t="str">
        <f>IFERROR(VLOOKUP($D149,'Planes y paquetes'!$C$384:$P$417,13,FALSE),"")</f>
        <v>300 Mbps</v>
      </c>
      <c r="I149" s="195">
        <f>INDEX(vector.implicit.prices.broadband.after.discount,MATCH('Cálculos auxiliares'!D149,vector.plans.names,0))</f>
        <v>321.26232106713491</v>
      </c>
      <c r="J149" s="195">
        <f t="shared" si="15"/>
        <v>218.75565541584768</v>
      </c>
      <c r="K149" s="196">
        <f t="shared" si="16"/>
        <v>1.5403902603180614E-2</v>
      </c>
      <c r="M149" s="197">
        <f t="shared" si="20"/>
        <v>300</v>
      </c>
      <c r="Q149" s="91">
        <f t="shared" si="23"/>
        <v>0</v>
      </c>
      <c r="R149" s="91">
        <f t="shared" si="23"/>
        <v>0</v>
      </c>
      <c r="S149" s="91">
        <f t="shared" si="23"/>
        <v>0</v>
      </c>
      <c r="T149" s="91">
        <f t="shared" si="23"/>
        <v>0</v>
      </c>
      <c r="U149" s="91">
        <f t="shared" si="23"/>
        <v>0</v>
      </c>
      <c r="V149" s="91">
        <f t="shared" si="23"/>
        <v>0</v>
      </c>
      <c r="W149" s="91">
        <f t="shared" si="23"/>
        <v>0</v>
      </c>
      <c r="X149" s="91">
        <f t="shared" si="23"/>
        <v>0</v>
      </c>
      <c r="Y149" s="91">
        <f t="shared" si="23"/>
        <v>0</v>
      </c>
      <c r="Z149" s="91">
        <f t="shared" si="23"/>
        <v>0</v>
      </c>
      <c r="AA149" s="91">
        <f t="shared" si="23"/>
        <v>0</v>
      </c>
      <c r="AB149" s="91">
        <f t="shared" si="22"/>
        <v>0</v>
      </c>
      <c r="AC149" s="91">
        <f t="shared" si="22"/>
        <v>0</v>
      </c>
      <c r="AD149" s="91">
        <f t="shared" si="22"/>
        <v>0</v>
      </c>
      <c r="AE149" s="91">
        <f t="shared" si="22"/>
        <v>0</v>
      </c>
      <c r="AF149" s="91">
        <f t="shared" si="22"/>
        <v>0</v>
      </c>
      <c r="AG149" s="91">
        <f t="shared" si="22"/>
        <v>1</v>
      </c>
      <c r="AH149" s="91">
        <f t="shared" si="22"/>
        <v>0</v>
      </c>
      <c r="AI149" s="91">
        <f t="shared" si="22"/>
        <v>0</v>
      </c>
      <c r="AJ149" s="91">
        <f t="shared" si="18"/>
        <v>0</v>
      </c>
      <c r="AK149" s="91">
        <f t="shared" si="18"/>
        <v>0</v>
      </c>
      <c r="AL149" s="91">
        <f t="shared" si="18"/>
        <v>0</v>
      </c>
    </row>
    <row r="150" spans="2:38" ht="12">
      <c r="B150" s="142" t="str">
        <f t="shared" si="19"/>
        <v>Infinitum 899Residencial</v>
      </c>
      <c r="C150" s="91">
        <f t="shared" si="21"/>
        <v>17</v>
      </c>
      <c r="D150" s="143" t="str">
        <v>Infinitum 899</v>
      </c>
      <c r="F150" s="170" t="str">
        <f>IFERROR(VLOOKUP($D150,'Planes y paquetes'!$C$654:$E$687,2,FALSE),"")</f>
        <v>Residencial</v>
      </c>
      <c r="G150" s="170" t="str">
        <f>IFERROR(VLOOKUP($D150,'Planes y paquetes'!$C$654:$E$687,3,FALSE),"")</f>
        <v>Internet fijo</v>
      </c>
      <c r="H150" s="170" t="str">
        <f>IFERROR(VLOOKUP($D150,'Planes y paquetes'!$C$384:$P$417,13,FALSE),"")</f>
        <v>750 Mbps</v>
      </c>
      <c r="I150" s="195">
        <f>INDEX(vector.implicit.prices.broadband.after.discount,MATCH('Cálculos auxiliares'!D150,vector.plans.names,0))</f>
        <v>743.84235359422712</v>
      </c>
      <c r="J150" s="195">
        <f t="shared" si="15"/>
        <v>641.3356879429399</v>
      </c>
      <c r="K150" s="196">
        <f t="shared" si="16"/>
        <v>2.20050579411314E-3</v>
      </c>
      <c r="M150" s="197">
        <f t="shared" si="20"/>
        <v>750</v>
      </c>
      <c r="Q150" s="91">
        <f t="shared" si="23"/>
        <v>0</v>
      </c>
      <c r="R150" s="91">
        <f t="shared" si="23"/>
        <v>0</v>
      </c>
      <c r="S150" s="91">
        <f t="shared" si="23"/>
        <v>0</v>
      </c>
      <c r="T150" s="91">
        <f t="shared" si="23"/>
        <v>0</v>
      </c>
      <c r="U150" s="91">
        <f t="shared" si="23"/>
        <v>0</v>
      </c>
      <c r="V150" s="91">
        <f t="shared" si="23"/>
        <v>0</v>
      </c>
      <c r="W150" s="91">
        <f t="shared" si="23"/>
        <v>0</v>
      </c>
      <c r="X150" s="91">
        <f t="shared" si="23"/>
        <v>0</v>
      </c>
      <c r="Y150" s="91">
        <f t="shared" si="23"/>
        <v>0</v>
      </c>
      <c r="Z150" s="91">
        <f t="shared" si="23"/>
        <v>0</v>
      </c>
      <c r="AA150" s="91">
        <f t="shared" si="23"/>
        <v>0</v>
      </c>
      <c r="AB150" s="91">
        <f t="shared" si="23"/>
        <v>0</v>
      </c>
      <c r="AC150" s="91">
        <f t="shared" si="23"/>
        <v>0</v>
      </c>
      <c r="AD150" s="91">
        <f t="shared" si="23"/>
        <v>0</v>
      </c>
      <c r="AE150" s="91">
        <f t="shared" si="22"/>
        <v>0</v>
      </c>
      <c r="AF150" s="91">
        <f t="shared" si="22"/>
        <v>0</v>
      </c>
      <c r="AG150" s="91">
        <f t="shared" si="22"/>
        <v>0</v>
      </c>
      <c r="AH150" s="91">
        <f t="shared" si="22"/>
        <v>0</v>
      </c>
      <c r="AI150" s="91">
        <f t="shared" si="22"/>
        <v>0</v>
      </c>
      <c r="AJ150" s="91">
        <f t="shared" si="18"/>
        <v>0</v>
      </c>
      <c r="AK150" s="91">
        <f t="shared" si="18"/>
        <v>1</v>
      </c>
      <c r="AL150" s="91">
        <f t="shared" si="18"/>
        <v>0</v>
      </c>
    </row>
    <row r="151" spans="2:38" ht="12">
      <c r="B151" s="142" t="str">
        <f t="shared" si="19"/>
        <v>Paquete Conectes NegocioNo Residencial</v>
      </c>
      <c r="C151" s="91">
        <f t="shared" si="21"/>
        <v>18</v>
      </c>
      <c r="D151" s="143" t="str">
        <v>Paquete Conectes Negocio</v>
      </c>
      <c r="F151" s="170" t="str">
        <f>IFERROR(VLOOKUP($D151,'Planes y paquetes'!$C$654:$E$687,2,FALSE),"")</f>
        <v>No Residencial</v>
      </c>
      <c r="G151" s="170" t="str">
        <f>IFERROR(VLOOKUP($D151,'Planes y paquetes'!$C$654:$E$687,3,FALSE),"")</f>
        <v>Telefonía fija + Internet fijo</v>
      </c>
      <c r="H151" s="170" t="str">
        <f>IFERROR(VLOOKUP($D151,'Planes y paquetes'!$C$384:$P$417,13,FALSE),"")</f>
        <v>60 Mbps</v>
      </c>
      <c r="I151" s="195">
        <f>INDEX(vector.implicit.prices.broadband.after.discount,MATCH('Cálculos auxiliares'!D151,vector.plans.names,0))</f>
        <v>120</v>
      </c>
      <c r="J151" s="195">
        <f t="shared" si="15"/>
        <v>120</v>
      </c>
      <c r="K151" s="196">
        <f t="shared" si="16"/>
        <v>5.7748433275535964E-2</v>
      </c>
      <c r="M151" s="197">
        <f t="shared" si="20"/>
        <v>60</v>
      </c>
      <c r="Q151" s="91">
        <f t="shared" si="23"/>
        <v>0</v>
      </c>
      <c r="R151" s="91">
        <f t="shared" si="23"/>
        <v>0</v>
      </c>
      <c r="S151" s="91">
        <f t="shared" si="23"/>
        <v>0</v>
      </c>
      <c r="T151" s="91">
        <f t="shared" si="23"/>
        <v>0</v>
      </c>
      <c r="U151" s="91">
        <f t="shared" si="23"/>
        <v>0</v>
      </c>
      <c r="V151" s="91">
        <f t="shared" si="23"/>
        <v>0</v>
      </c>
      <c r="W151" s="91">
        <f t="shared" si="23"/>
        <v>0</v>
      </c>
      <c r="X151" s="91">
        <f t="shared" si="23"/>
        <v>0</v>
      </c>
      <c r="Y151" s="91">
        <f t="shared" si="23"/>
        <v>1</v>
      </c>
      <c r="Z151" s="91">
        <f t="shared" si="23"/>
        <v>0</v>
      </c>
      <c r="AA151" s="91">
        <f t="shared" si="23"/>
        <v>0</v>
      </c>
      <c r="AB151" s="91">
        <f t="shared" si="23"/>
        <v>0</v>
      </c>
      <c r="AC151" s="91">
        <f t="shared" si="23"/>
        <v>0</v>
      </c>
      <c r="AD151" s="91">
        <f t="shared" si="23"/>
        <v>0</v>
      </c>
      <c r="AE151" s="91">
        <f t="shared" si="22"/>
        <v>0</v>
      </c>
      <c r="AF151" s="91">
        <f t="shared" si="22"/>
        <v>0</v>
      </c>
      <c r="AG151" s="91">
        <f t="shared" si="22"/>
        <v>0</v>
      </c>
      <c r="AH151" s="91">
        <f t="shared" si="22"/>
        <v>0</v>
      </c>
      <c r="AI151" s="91">
        <f t="shared" si="22"/>
        <v>0</v>
      </c>
      <c r="AJ151" s="91">
        <f t="shared" si="18"/>
        <v>0</v>
      </c>
      <c r="AK151" s="91">
        <f t="shared" si="18"/>
        <v>0</v>
      </c>
      <c r="AL151" s="91">
        <f t="shared" si="18"/>
        <v>0</v>
      </c>
    </row>
    <row r="152" spans="2:38" ht="12">
      <c r="B152" s="142" t="str">
        <f t="shared" si="19"/>
        <v>Paquete Mi NegocioNo Residencial</v>
      </c>
      <c r="C152" s="91">
        <f t="shared" si="21"/>
        <v>19</v>
      </c>
      <c r="D152" s="143" t="str">
        <v>Paquete Mi Negocio</v>
      </c>
      <c r="F152" s="170" t="str">
        <f>IFERROR(VLOOKUP($D152,'Planes y paquetes'!$C$654:$E$687,2,FALSE),"")</f>
        <v>No Residencial</v>
      </c>
      <c r="G152" s="170" t="str">
        <f>IFERROR(VLOOKUP($D152,'Planes y paquetes'!$C$654:$E$687,3,FALSE),"")</f>
        <v>Telefonía fija + Internet fijo</v>
      </c>
      <c r="H152" s="170" t="str">
        <f>IFERROR(VLOOKUP($D152,'Planes y paquetes'!$C$384:$P$417,13,FALSE),"")</f>
        <v>100 Mbps</v>
      </c>
      <c r="I152" s="195">
        <f>INDEX(vector.implicit.prices.broadband.after.discount,MATCH('Cálculos auxiliares'!D152,vector.plans.names,0))</f>
        <v>281</v>
      </c>
      <c r="J152" s="195">
        <f t="shared" si="15"/>
        <v>281</v>
      </c>
      <c r="K152" s="196">
        <f t="shared" si="16"/>
        <v>4.117793314108173E-2</v>
      </c>
      <c r="M152" s="197">
        <f t="shared" si="20"/>
        <v>100</v>
      </c>
      <c r="Q152" s="91">
        <f t="shared" si="23"/>
        <v>0</v>
      </c>
      <c r="R152" s="91">
        <f t="shared" si="23"/>
        <v>0</v>
      </c>
      <c r="S152" s="91">
        <f t="shared" si="23"/>
        <v>0</v>
      </c>
      <c r="T152" s="91">
        <f t="shared" si="23"/>
        <v>0</v>
      </c>
      <c r="U152" s="91">
        <f t="shared" si="23"/>
        <v>0</v>
      </c>
      <c r="V152" s="91">
        <f t="shared" si="23"/>
        <v>0</v>
      </c>
      <c r="W152" s="91">
        <f t="shared" si="23"/>
        <v>0</v>
      </c>
      <c r="X152" s="91">
        <f t="shared" si="23"/>
        <v>0</v>
      </c>
      <c r="Y152" s="91">
        <f t="shared" si="23"/>
        <v>0</v>
      </c>
      <c r="Z152" s="91">
        <f t="shared" si="23"/>
        <v>0</v>
      </c>
      <c r="AA152" s="91">
        <f t="shared" si="23"/>
        <v>0</v>
      </c>
      <c r="AB152" s="91">
        <f t="shared" si="23"/>
        <v>1</v>
      </c>
      <c r="AC152" s="91">
        <f t="shared" si="23"/>
        <v>0</v>
      </c>
      <c r="AD152" s="91">
        <f t="shared" si="23"/>
        <v>0</v>
      </c>
      <c r="AE152" s="91">
        <f t="shared" si="22"/>
        <v>0</v>
      </c>
      <c r="AF152" s="91">
        <f t="shared" si="22"/>
        <v>0</v>
      </c>
      <c r="AG152" s="91">
        <f t="shared" si="22"/>
        <v>0</v>
      </c>
      <c r="AH152" s="91">
        <f t="shared" si="22"/>
        <v>0</v>
      </c>
      <c r="AI152" s="91">
        <f t="shared" si="22"/>
        <v>0</v>
      </c>
      <c r="AJ152" s="91">
        <f t="shared" si="18"/>
        <v>0</v>
      </c>
      <c r="AK152" s="91">
        <f t="shared" si="18"/>
        <v>0</v>
      </c>
      <c r="AL152" s="91">
        <f t="shared" si="18"/>
        <v>0</v>
      </c>
    </row>
    <row r="153" spans="2:38" ht="12">
      <c r="B153" s="142" t="str">
        <f t="shared" si="19"/>
        <v>Paquete Negocio 649No Residencial</v>
      </c>
      <c r="C153" s="91">
        <f t="shared" si="21"/>
        <v>20</v>
      </c>
      <c r="D153" s="143" t="str">
        <v>Paquete Negocio 649</v>
      </c>
      <c r="F153" s="170" t="str">
        <f>IFERROR(VLOOKUP($D153,'Planes y paquetes'!$C$654:$E$687,2,FALSE),"")</f>
        <v>No Residencial</v>
      </c>
      <c r="G153" s="170" t="str">
        <f>IFERROR(VLOOKUP($D153,'Planes y paquetes'!$C$654:$E$687,3,FALSE),"")</f>
        <v>Telefonía fija + Internet fijo</v>
      </c>
      <c r="H153" s="170" t="str">
        <f>IFERROR(VLOOKUP($D153,'Planes y paquetes'!$C$384:$P$417,13,FALSE),"")</f>
        <v>200 Mbps</v>
      </c>
      <c r="I153" s="195">
        <f>INDEX(vector.implicit.prices.broadband.after.discount,MATCH('Cálculos auxiliares'!D153,vector.plans.names,0))</f>
        <v>392</v>
      </c>
      <c r="J153" s="195">
        <f t="shared" si="15"/>
        <v>392</v>
      </c>
      <c r="K153" s="196">
        <f t="shared" si="16"/>
        <v>8.6094155616996495E-4</v>
      </c>
      <c r="M153" s="197">
        <f t="shared" si="20"/>
        <v>200</v>
      </c>
      <c r="Q153" s="91">
        <f t="shared" si="23"/>
        <v>0</v>
      </c>
      <c r="R153" s="91">
        <f t="shared" si="23"/>
        <v>0</v>
      </c>
      <c r="S153" s="91">
        <f t="shared" si="23"/>
        <v>0</v>
      </c>
      <c r="T153" s="91">
        <f t="shared" si="23"/>
        <v>0</v>
      </c>
      <c r="U153" s="91">
        <f t="shared" si="23"/>
        <v>0</v>
      </c>
      <c r="V153" s="91">
        <f t="shared" si="23"/>
        <v>0</v>
      </c>
      <c r="W153" s="91">
        <f t="shared" si="23"/>
        <v>0</v>
      </c>
      <c r="X153" s="91">
        <f t="shared" si="23"/>
        <v>0</v>
      </c>
      <c r="Y153" s="91">
        <f t="shared" si="23"/>
        <v>0</v>
      </c>
      <c r="Z153" s="91">
        <f t="shared" si="23"/>
        <v>0</v>
      </c>
      <c r="AA153" s="91">
        <f t="shared" si="23"/>
        <v>0</v>
      </c>
      <c r="AB153" s="91">
        <f t="shared" si="23"/>
        <v>0</v>
      </c>
      <c r="AC153" s="91">
        <f t="shared" si="23"/>
        <v>0</v>
      </c>
      <c r="AD153" s="91">
        <f t="shared" si="23"/>
        <v>0</v>
      </c>
      <c r="AE153" s="91">
        <f t="shared" si="22"/>
        <v>1</v>
      </c>
      <c r="AF153" s="91">
        <f t="shared" si="22"/>
        <v>0</v>
      </c>
      <c r="AG153" s="91">
        <f t="shared" si="22"/>
        <v>0</v>
      </c>
      <c r="AH153" s="91">
        <f t="shared" si="22"/>
        <v>0</v>
      </c>
      <c r="AI153" s="91">
        <f t="shared" si="22"/>
        <v>0</v>
      </c>
      <c r="AJ153" s="91">
        <f t="shared" si="18"/>
        <v>0</v>
      </c>
      <c r="AK153" s="91">
        <f t="shared" si="18"/>
        <v>0</v>
      </c>
      <c r="AL153" s="91">
        <f t="shared" si="18"/>
        <v>0</v>
      </c>
    </row>
    <row r="154" spans="2:38" ht="12">
      <c r="B154" s="142" t="str">
        <f t="shared" si="19"/>
        <v>Paquete SupernegocioNo Residencial</v>
      </c>
      <c r="C154" s="91">
        <f t="shared" si="21"/>
        <v>21</v>
      </c>
      <c r="D154" s="143" t="str">
        <v>Paquete Supernegocio</v>
      </c>
      <c r="F154" s="170" t="str">
        <f>IFERROR(VLOOKUP($D154,'Planes y paquetes'!$C$654:$E$687,2,FALSE),"")</f>
        <v>No Residencial</v>
      </c>
      <c r="G154" s="170" t="str">
        <f>IFERROR(VLOOKUP($D154,'Planes y paquetes'!$C$654:$E$687,3,FALSE),"")</f>
        <v>Telefonía fija + Internet fijo</v>
      </c>
      <c r="H154" s="170" t="str">
        <f>IFERROR(VLOOKUP($D154,'Planes y paquetes'!$C$384:$P$417,13,FALSE),"")</f>
        <v>300 Mbps</v>
      </c>
      <c r="I154" s="195">
        <f>INDEX(vector.implicit.prices.broadband.after.discount,MATCH('Cálculos auxiliares'!D154,vector.plans.names,0))</f>
        <v>371</v>
      </c>
      <c r="J154" s="195">
        <f t="shared" si="15"/>
        <v>371</v>
      </c>
      <c r="K154" s="196">
        <f t="shared" si="16"/>
        <v>2.0732290892891067E-2</v>
      </c>
      <c r="M154" s="197">
        <f t="shared" si="20"/>
        <v>300</v>
      </c>
      <c r="Q154" s="91">
        <f t="shared" si="23"/>
        <v>0</v>
      </c>
      <c r="R154" s="91">
        <f t="shared" si="23"/>
        <v>0</v>
      </c>
      <c r="S154" s="91">
        <f t="shared" si="23"/>
        <v>0</v>
      </c>
      <c r="T154" s="91">
        <f t="shared" si="23"/>
        <v>0</v>
      </c>
      <c r="U154" s="91">
        <f t="shared" si="23"/>
        <v>0</v>
      </c>
      <c r="V154" s="91">
        <f t="shared" si="23"/>
        <v>0</v>
      </c>
      <c r="W154" s="91">
        <f t="shared" si="23"/>
        <v>0</v>
      </c>
      <c r="X154" s="91">
        <f t="shared" si="23"/>
        <v>0</v>
      </c>
      <c r="Y154" s="91">
        <f t="shared" si="23"/>
        <v>0</v>
      </c>
      <c r="Z154" s="91">
        <f t="shared" si="23"/>
        <v>0</v>
      </c>
      <c r="AA154" s="91">
        <f t="shared" si="23"/>
        <v>0</v>
      </c>
      <c r="AB154" s="91">
        <f t="shared" si="23"/>
        <v>0</v>
      </c>
      <c r="AC154" s="91">
        <f t="shared" si="23"/>
        <v>0</v>
      </c>
      <c r="AD154" s="91">
        <f t="shared" si="23"/>
        <v>0</v>
      </c>
      <c r="AE154" s="91">
        <f t="shared" si="22"/>
        <v>0</v>
      </c>
      <c r="AF154" s="91">
        <f t="shared" si="22"/>
        <v>0</v>
      </c>
      <c r="AG154" s="91">
        <f t="shared" si="22"/>
        <v>1</v>
      </c>
      <c r="AH154" s="91">
        <f t="shared" si="22"/>
        <v>0</v>
      </c>
      <c r="AI154" s="91">
        <f t="shared" si="22"/>
        <v>0</v>
      </c>
      <c r="AJ154" s="91">
        <f t="shared" si="22"/>
        <v>0</v>
      </c>
      <c r="AK154" s="91">
        <f t="shared" si="22"/>
        <v>0</v>
      </c>
      <c r="AL154" s="91">
        <f t="shared" si="22"/>
        <v>0</v>
      </c>
    </row>
    <row r="155" spans="2:38" ht="12">
      <c r="B155" s="142" t="str">
        <f t="shared" si="19"/>
        <v>Paquete Negocio 999No Residencial</v>
      </c>
      <c r="C155" s="91">
        <f t="shared" si="21"/>
        <v>22</v>
      </c>
      <c r="D155" s="143" t="str">
        <v>Paquete Negocio 999</v>
      </c>
      <c r="F155" s="170" t="str">
        <f>IFERROR(VLOOKUP($D155,'Planes y paquetes'!$C$654:$E$687,2,FALSE),"")</f>
        <v>No Residencial</v>
      </c>
      <c r="G155" s="170" t="str">
        <f>IFERROR(VLOOKUP($D155,'Planes y paquetes'!$C$654:$E$687,3,FALSE),"")</f>
        <v>Telefonía fija + Internet fijo</v>
      </c>
      <c r="H155" s="170" t="str">
        <f>IFERROR(VLOOKUP($D155,'Planes y paquetes'!$C$384:$P$417,13,FALSE),"")</f>
        <v>500 Mbps</v>
      </c>
      <c r="I155" s="195">
        <f>INDEX(vector.implicit.prices.broadband.after.discount,MATCH('Cálculos auxiliares'!D155,vector.plans.names,0))</f>
        <v>583</v>
      </c>
      <c r="J155" s="195">
        <f t="shared" si="15"/>
        <v>583</v>
      </c>
      <c r="K155" s="196">
        <f t="shared" si="16"/>
        <v>3.3543412606874373E-4</v>
      </c>
      <c r="M155" s="197">
        <f t="shared" si="20"/>
        <v>500</v>
      </c>
      <c r="Q155" s="91">
        <f t="shared" si="23"/>
        <v>0</v>
      </c>
      <c r="R155" s="91">
        <f t="shared" si="23"/>
        <v>0</v>
      </c>
      <c r="S155" s="91">
        <f t="shared" si="23"/>
        <v>0</v>
      </c>
      <c r="T155" s="91">
        <f t="shared" si="23"/>
        <v>0</v>
      </c>
      <c r="U155" s="91">
        <f t="shared" si="23"/>
        <v>0</v>
      </c>
      <c r="V155" s="91">
        <f t="shared" si="23"/>
        <v>0</v>
      </c>
      <c r="W155" s="91">
        <f t="shared" si="23"/>
        <v>0</v>
      </c>
      <c r="X155" s="91">
        <f t="shared" si="23"/>
        <v>0</v>
      </c>
      <c r="Y155" s="91">
        <f t="shared" si="23"/>
        <v>0</v>
      </c>
      <c r="Z155" s="91">
        <f t="shared" si="23"/>
        <v>0</v>
      </c>
      <c r="AA155" s="91">
        <f t="shared" si="23"/>
        <v>0</v>
      </c>
      <c r="AB155" s="91">
        <f t="shared" si="23"/>
        <v>0</v>
      </c>
      <c r="AC155" s="91">
        <f t="shared" si="23"/>
        <v>0</v>
      </c>
      <c r="AD155" s="91">
        <f t="shared" si="23"/>
        <v>0</v>
      </c>
      <c r="AE155" s="91">
        <f t="shared" si="22"/>
        <v>0</v>
      </c>
      <c r="AF155" s="91">
        <f t="shared" si="22"/>
        <v>0</v>
      </c>
      <c r="AG155" s="91">
        <f t="shared" si="22"/>
        <v>0</v>
      </c>
      <c r="AH155" s="91">
        <f t="shared" si="22"/>
        <v>0</v>
      </c>
      <c r="AI155" s="91">
        <f t="shared" si="22"/>
        <v>0</v>
      </c>
      <c r="AJ155" s="91">
        <f t="shared" si="22"/>
        <v>1</v>
      </c>
      <c r="AK155" s="91">
        <f t="shared" si="22"/>
        <v>0</v>
      </c>
      <c r="AL155" s="91">
        <f t="shared" si="22"/>
        <v>0</v>
      </c>
    </row>
    <row r="156" spans="2:38" ht="12">
      <c r="B156" s="142" t="str">
        <f t="shared" si="19"/>
        <v>Paquete Telmex Negocio Ilimitado 1No Residencial</v>
      </c>
      <c r="C156" s="91">
        <f t="shared" si="21"/>
        <v>23</v>
      </c>
      <c r="D156" s="143" t="str">
        <v>Paquete Telmex Negocio Ilimitado 1</v>
      </c>
      <c r="F156" s="170" t="str">
        <f>IFERROR(VLOOKUP($D156,'Planes y paquetes'!$C$654:$E$687,2,FALSE),"")</f>
        <v>No Residencial</v>
      </c>
      <c r="G156" s="170" t="str">
        <f>IFERROR(VLOOKUP($D156,'Planes y paquetes'!$C$654:$E$687,3,FALSE),"")</f>
        <v>Telefonía fija + Internet fijo</v>
      </c>
      <c r="H156" s="170" t="str">
        <f>IFERROR(VLOOKUP($D156,'Planes y paquetes'!$C$384:$P$417,13,FALSE),"")</f>
        <v>750 Mbps</v>
      </c>
      <c r="I156" s="195">
        <f>INDEX(vector.implicit.prices.broadband.after.discount,MATCH('Cálculos auxiliares'!D156,vector.plans.names,0))</f>
        <v>1094</v>
      </c>
      <c r="J156" s="195">
        <f t="shared" si="15"/>
        <v>1094</v>
      </c>
      <c r="K156" s="196">
        <f t="shared" si="16"/>
        <v>8.4175320357240054E-6</v>
      </c>
      <c r="M156" s="197">
        <f t="shared" si="20"/>
        <v>750</v>
      </c>
      <c r="Q156" s="91">
        <f t="shared" si="23"/>
        <v>0</v>
      </c>
      <c r="R156" s="91">
        <f t="shared" si="23"/>
        <v>0</v>
      </c>
      <c r="S156" s="91">
        <f t="shared" si="23"/>
        <v>0</v>
      </c>
      <c r="T156" s="91">
        <f t="shared" si="23"/>
        <v>0</v>
      </c>
      <c r="U156" s="91">
        <f t="shared" si="23"/>
        <v>0</v>
      </c>
      <c r="V156" s="91">
        <f t="shared" si="23"/>
        <v>0</v>
      </c>
      <c r="W156" s="91">
        <f t="shared" si="23"/>
        <v>0</v>
      </c>
      <c r="X156" s="91">
        <f t="shared" si="23"/>
        <v>0</v>
      </c>
      <c r="Y156" s="91">
        <f t="shared" si="23"/>
        <v>0</v>
      </c>
      <c r="Z156" s="91">
        <f t="shared" si="23"/>
        <v>0</v>
      </c>
      <c r="AA156" s="91">
        <f t="shared" si="23"/>
        <v>0</v>
      </c>
      <c r="AB156" s="91">
        <f t="shared" si="23"/>
        <v>0</v>
      </c>
      <c r="AC156" s="91">
        <f t="shared" si="23"/>
        <v>0</v>
      </c>
      <c r="AD156" s="91">
        <f t="shared" si="23"/>
        <v>0</v>
      </c>
      <c r="AE156" s="91">
        <f t="shared" si="22"/>
        <v>0</v>
      </c>
      <c r="AF156" s="91">
        <f t="shared" si="22"/>
        <v>0</v>
      </c>
      <c r="AG156" s="91">
        <f t="shared" si="22"/>
        <v>0</v>
      </c>
      <c r="AH156" s="91">
        <f t="shared" si="22"/>
        <v>0</v>
      </c>
      <c r="AI156" s="91">
        <f t="shared" si="22"/>
        <v>0</v>
      </c>
      <c r="AJ156" s="91">
        <f t="shared" si="22"/>
        <v>0</v>
      </c>
      <c r="AK156" s="91">
        <f t="shared" si="22"/>
        <v>1</v>
      </c>
      <c r="AL156" s="91">
        <f t="shared" si="22"/>
        <v>0</v>
      </c>
    </row>
    <row r="157" spans="2:38" ht="12">
      <c r="B157" s="142" t="str">
        <f t="shared" si="19"/>
        <v>Paquete Telmex Negocio Ilimitado 2No Residencial</v>
      </c>
      <c r="C157" s="91">
        <f t="shared" si="21"/>
        <v>24</v>
      </c>
      <c r="D157" s="143" t="str">
        <v>Paquete Telmex Negocio Ilimitado 2</v>
      </c>
      <c r="F157" s="170" t="str">
        <f>IFERROR(VLOOKUP($D157,'Planes y paquetes'!$C$654:$E$687,2,FALSE),"")</f>
        <v>No Residencial</v>
      </c>
      <c r="G157" s="170" t="str">
        <f>IFERROR(VLOOKUP($D157,'Planes y paquetes'!$C$654:$E$687,3,FALSE),"")</f>
        <v>Telefonía fija + Internet fijo</v>
      </c>
      <c r="H157" s="170" t="str">
        <f>IFERROR(VLOOKUP($D157,'Planes y paquetes'!$C$384:$P$417,13,FALSE),"")</f>
        <v>750 Mbps</v>
      </c>
      <c r="I157" s="195">
        <f>INDEX(vector.implicit.prices.broadband.after.discount,MATCH('Cálculos auxiliares'!D157,vector.plans.names,0))</f>
        <v>1534</v>
      </c>
      <c r="J157" s="195">
        <f t="shared" si="15"/>
        <v>1534</v>
      </c>
      <c r="K157" s="196">
        <f t="shared" si="16"/>
        <v>3.4394216920162605E-6</v>
      </c>
      <c r="M157" s="197">
        <f t="shared" si="20"/>
        <v>750</v>
      </c>
      <c r="Q157" s="91">
        <f t="shared" si="23"/>
        <v>0</v>
      </c>
      <c r="R157" s="91">
        <f t="shared" si="23"/>
        <v>0</v>
      </c>
      <c r="S157" s="91">
        <f t="shared" si="23"/>
        <v>0</v>
      </c>
      <c r="T157" s="91">
        <f t="shared" si="23"/>
        <v>0</v>
      </c>
      <c r="U157" s="91">
        <f t="shared" si="23"/>
        <v>0</v>
      </c>
      <c r="V157" s="91">
        <f t="shared" si="23"/>
        <v>0</v>
      </c>
      <c r="W157" s="91">
        <f t="shared" si="23"/>
        <v>0</v>
      </c>
      <c r="X157" s="91">
        <f t="shared" si="23"/>
        <v>0</v>
      </c>
      <c r="Y157" s="91">
        <f t="shared" si="23"/>
        <v>0</v>
      </c>
      <c r="Z157" s="91">
        <f t="shared" si="23"/>
        <v>0</v>
      </c>
      <c r="AA157" s="91">
        <f t="shared" si="23"/>
        <v>0</v>
      </c>
      <c r="AB157" s="91">
        <f t="shared" si="23"/>
        <v>0</v>
      </c>
      <c r="AC157" s="91">
        <f t="shared" si="23"/>
        <v>0</v>
      </c>
      <c r="AD157" s="91">
        <f t="shared" si="23"/>
        <v>0</v>
      </c>
      <c r="AE157" s="91">
        <f t="shared" si="22"/>
        <v>0</v>
      </c>
      <c r="AF157" s="91">
        <f t="shared" si="22"/>
        <v>0</v>
      </c>
      <c r="AG157" s="91">
        <f t="shared" si="22"/>
        <v>0</v>
      </c>
      <c r="AH157" s="91">
        <f t="shared" si="22"/>
        <v>0</v>
      </c>
      <c r="AI157" s="91">
        <f t="shared" si="22"/>
        <v>0</v>
      </c>
      <c r="AJ157" s="91">
        <f t="shared" si="22"/>
        <v>0</v>
      </c>
      <c r="AK157" s="91">
        <f t="shared" si="22"/>
        <v>1</v>
      </c>
      <c r="AL157" s="91">
        <f t="shared" si="22"/>
        <v>0</v>
      </c>
    </row>
    <row r="158" spans="2:38" ht="12">
      <c r="B158" s="142" t="str">
        <f t="shared" si="19"/>
        <v>Paquete Telmex Negocio Ilimitado 3No Residencial</v>
      </c>
      <c r="C158" s="91">
        <f t="shared" si="21"/>
        <v>25</v>
      </c>
      <c r="D158" s="143" t="str">
        <v>Paquete Telmex Negocio Ilimitado 3</v>
      </c>
      <c r="F158" s="170" t="str">
        <f>IFERROR(VLOOKUP($D158,'Planes y paquetes'!$C$654:$E$687,2,FALSE),"")</f>
        <v>No Residencial</v>
      </c>
      <c r="G158" s="170" t="str">
        <f>IFERROR(VLOOKUP($D158,'Planes y paquetes'!$C$654:$E$687,3,FALSE),"")</f>
        <v>Telefonía fija + Internet fijo</v>
      </c>
      <c r="H158" s="170" t="str">
        <f>IFERROR(VLOOKUP($D158,'Planes y paquetes'!$C$384:$P$417,13,FALSE),"")</f>
        <v>1000 Mbps</v>
      </c>
      <c r="I158" s="195">
        <f>INDEX(vector.implicit.prices.broadband.after.discount,MATCH('Cálculos auxiliares'!D158,vector.plans.names,0))</f>
        <v>1931</v>
      </c>
      <c r="J158" s="195">
        <f t="shared" si="15"/>
        <v>1931</v>
      </c>
      <c r="K158" s="196">
        <f t="shared" si="16"/>
        <v>1.7197108460081302E-6</v>
      </c>
      <c r="M158" s="197">
        <f t="shared" si="20"/>
        <v>1000</v>
      </c>
      <c r="Q158" s="91">
        <f t="shared" si="23"/>
        <v>0</v>
      </c>
      <c r="R158" s="91">
        <f t="shared" si="23"/>
        <v>0</v>
      </c>
      <c r="S158" s="91">
        <f t="shared" si="23"/>
        <v>0</v>
      </c>
      <c r="T158" s="91">
        <f t="shared" si="23"/>
        <v>0</v>
      </c>
      <c r="U158" s="91">
        <f t="shared" si="23"/>
        <v>0</v>
      </c>
      <c r="V158" s="91">
        <f t="shared" si="23"/>
        <v>0</v>
      </c>
      <c r="W158" s="91">
        <f t="shared" si="23"/>
        <v>0</v>
      </c>
      <c r="X158" s="91">
        <f t="shared" si="23"/>
        <v>0</v>
      </c>
      <c r="Y158" s="91">
        <f t="shared" si="23"/>
        <v>0</v>
      </c>
      <c r="Z158" s="91">
        <f t="shared" si="23"/>
        <v>0</v>
      </c>
      <c r="AA158" s="91">
        <f t="shared" si="23"/>
        <v>0</v>
      </c>
      <c r="AB158" s="91">
        <f t="shared" si="23"/>
        <v>0</v>
      </c>
      <c r="AC158" s="91">
        <f t="shared" si="23"/>
        <v>0</v>
      </c>
      <c r="AD158" s="91">
        <f t="shared" si="23"/>
        <v>0</v>
      </c>
      <c r="AE158" s="91">
        <f t="shared" si="22"/>
        <v>0</v>
      </c>
      <c r="AF158" s="91">
        <f t="shared" si="22"/>
        <v>0</v>
      </c>
      <c r="AG158" s="91">
        <f t="shared" si="22"/>
        <v>0</v>
      </c>
      <c r="AH158" s="91">
        <f t="shared" si="22"/>
        <v>0</v>
      </c>
      <c r="AI158" s="91">
        <f t="shared" si="22"/>
        <v>0</v>
      </c>
      <c r="AJ158" s="91">
        <f t="shared" si="22"/>
        <v>0</v>
      </c>
      <c r="AK158" s="91">
        <f t="shared" si="22"/>
        <v>0</v>
      </c>
      <c r="AL158" s="91">
        <f t="shared" si="22"/>
        <v>1</v>
      </c>
    </row>
    <row r="159" spans="2:38" ht="12">
      <c r="B159" s="142" t="str">
        <f t="shared" si="19"/>
        <v>Infinitum 299 NNo Residencial</v>
      </c>
      <c r="C159" s="91">
        <f t="shared" si="21"/>
        <v>26</v>
      </c>
      <c r="D159" s="143" t="str">
        <v>Infinitum 299 N</v>
      </c>
      <c r="F159" s="170" t="str">
        <f>IFERROR(VLOOKUP($D159,'Planes y paquetes'!$C$654:$E$687,2,FALSE),"")</f>
        <v>No Residencial</v>
      </c>
      <c r="G159" s="170" t="str">
        <f>IFERROR(VLOOKUP($D159,'Planes y paquetes'!$C$654:$E$687,3,FALSE),"")</f>
        <v>Internet fijo</v>
      </c>
      <c r="H159" s="170" t="str">
        <f>IFERROR(VLOOKUP($D159,'Planes y paquetes'!$C$384:$P$417,13,FALSE),"")</f>
        <v>40 Mbps</v>
      </c>
      <c r="I159" s="195">
        <f>INDEX(vector.implicit.prices.broadband.after.discount,MATCH('Cálculos auxiliares'!D159,vector.plans.names,0))</f>
        <v>263</v>
      </c>
      <c r="J159" s="195">
        <f t="shared" si="15"/>
        <v>160.49333434871278</v>
      </c>
      <c r="K159" s="196">
        <f t="shared" si="16"/>
        <v>4.5300804127740486E-4</v>
      </c>
      <c r="M159" s="197">
        <f t="shared" si="20"/>
        <v>40</v>
      </c>
      <c r="Q159" s="91">
        <f t="shared" si="23"/>
        <v>0</v>
      </c>
      <c r="R159" s="91">
        <f t="shared" si="23"/>
        <v>0</v>
      </c>
      <c r="S159" s="91">
        <f t="shared" si="23"/>
        <v>0</v>
      </c>
      <c r="T159" s="91">
        <f t="shared" si="23"/>
        <v>0</v>
      </c>
      <c r="U159" s="91">
        <f t="shared" si="23"/>
        <v>0</v>
      </c>
      <c r="V159" s="91">
        <f t="shared" si="23"/>
        <v>0</v>
      </c>
      <c r="W159" s="91">
        <f t="shared" si="23"/>
        <v>1</v>
      </c>
      <c r="X159" s="91">
        <f t="shared" si="23"/>
        <v>0</v>
      </c>
      <c r="Y159" s="91">
        <f t="shared" si="23"/>
        <v>0</v>
      </c>
      <c r="Z159" s="91">
        <f t="shared" si="23"/>
        <v>0</v>
      </c>
      <c r="AA159" s="91">
        <f t="shared" si="23"/>
        <v>0</v>
      </c>
      <c r="AB159" s="91">
        <f t="shared" si="23"/>
        <v>0</v>
      </c>
      <c r="AC159" s="91">
        <f t="shared" si="23"/>
        <v>0</v>
      </c>
      <c r="AD159" s="91">
        <f t="shared" si="23"/>
        <v>0</v>
      </c>
      <c r="AE159" s="91">
        <f t="shared" si="22"/>
        <v>0</v>
      </c>
      <c r="AF159" s="91">
        <f t="shared" si="22"/>
        <v>0</v>
      </c>
      <c r="AG159" s="91">
        <f t="shared" si="22"/>
        <v>0</v>
      </c>
      <c r="AH159" s="91">
        <f t="shared" si="22"/>
        <v>0</v>
      </c>
      <c r="AI159" s="91">
        <f t="shared" si="22"/>
        <v>0</v>
      </c>
      <c r="AJ159" s="91">
        <f t="shared" si="22"/>
        <v>0</v>
      </c>
      <c r="AK159" s="91">
        <f t="shared" si="22"/>
        <v>0</v>
      </c>
      <c r="AL159" s="91">
        <f t="shared" si="22"/>
        <v>0</v>
      </c>
    </row>
    <row r="160" spans="2:38" ht="12">
      <c r="B160" s="142" t="str">
        <f t="shared" si="19"/>
        <v>Infinitum Negocio 349No Residencial</v>
      </c>
      <c r="C160" s="91">
        <f t="shared" si="21"/>
        <v>27</v>
      </c>
      <c r="D160" s="143" t="str">
        <v>Infinitum Negocio 349</v>
      </c>
      <c r="F160" s="170" t="str">
        <f>IFERROR(VLOOKUP($D160,'Planes y paquetes'!$C$654:$E$687,2,FALSE),"")</f>
        <v>No Residencial</v>
      </c>
      <c r="G160" s="170" t="str">
        <f>IFERROR(VLOOKUP($D160,'Planes y paquetes'!$C$654:$E$687,3,FALSE),"")</f>
        <v>Internet fijo</v>
      </c>
      <c r="H160" s="170" t="str">
        <f>IFERROR(VLOOKUP($D160,'Planes y paquetes'!$C$384:$P$417,13,FALSE),"")</f>
        <v>60 Mbps</v>
      </c>
      <c r="I160" s="198">
        <f>INDEX(vector.implicit.prices.broadband.after.discount,MATCH('Cálculos auxiliares'!D160,vector.plans.names,0))</f>
        <v>322</v>
      </c>
      <c r="J160" s="195">
        <f t="shared" si="15"/>
        <v>219.49333434871278</v>
      </c>
      <c r="K160" s="196">
        <f t="shared" si="16"/>
        <v>1.1465312210336205E-2</v>
      </c>
      <c r="M160" s="197">
        <f t="shared" si="20"/>
        <v>60</v>
      </c>
      <c r="Q160" s="91">
        <f t="shared" si="23"/>
        <v>0</v>
      </c>
      <c r="R160" s="91">
        <f t="shared" si="23"/>
        <v>0</v>
      </c>
      <c r="S160" s="91">
        <f t="shared" si="23"/>
        <v>0</v>
      </c>
      <c r="T160" s="91">
        <f t="shared" si="23"/>
        <v>0</v>
      </c>
      <c r="U160" s="91">
        <f t="shared" si="23"/>
        <v>0</v>
      </c>
      <c r="V160" s="91">
        <f t="shared" si="23"/>
        <v>0</v>
      </c>
      <c r="W160" s="91">
        <f t="shared" si="23"/>
        <v>0</v>
      </c>
      <c r="X160" s="91">
        <f t="shared" si="23"/>
        <v>0</v>
      </c>
      <c r="Y160" s="91">
        <f t="shared" si="23"/>
        <v>1</v>
      </c>
      <c r="Z160" s="91">
        <f t="shared" si="23"/>
        <v>0</v>
      </c>
      <c r="AA160" s="91">
        <f t="shared" si="23"/>
        <v>0</v>
      </c>
      <c r="AB160" s="91">
        <f t="shared" si="23"/>
        <v>0</v>
      </c>
      <c r="AC160" s="91">
        <f t="shared" si="23"/>
        <v>0</v>
      </c>
      <c r="AD160" s="91">
        <f t="shared" si="23"/>
        <v>0</v>
      </c>
      <c r="AE160" s="91">
        <f t="shared" si="22"/>
        <v>0</v>
      </c>
      <c r="AF160" s="91">
        <f t="shared" si="22"/>
        <v>0</v>
      </c>
      <c r="AG160" s="91">
        <f t="shared" si="22"/>
        <v>0</v>
      </c>
      <c r="AH160" s="91">
        <f t="shared" si="22"/>
        <v>0</v>
      </c>
      <c r="AI160" s="91">
        <f t="shared" si="22"/>
        <v>0</v>
      </c>
      <c r="AJ160" s="91">
        <f t="shared" si="22"/>
        <v>0</v>
      </c>
      <c r="AK160" s="91">
        <f t="shared" si="22"/>
        <v>0</v>
      </c>
      <c r="AL160" s="91">
        <f t="shared" si="22"/>
        <v>0</v>
      </c>
    </row>
    <row r="161" spans="2:38" ht="12">
      <c r="B161" s="142" t="str">
        <f t="shared" si="19"/>
        <v>Infinitum Negocio 399No Residencial</v>
      </c>
      <c r="C161" s="91">
        <f t="shared" si="21"/>
        <v>28</v>
      </c>
      <c r="D161" s="143" t="str">
        <v>Infinitum Negocio 399</v>
      </c>
      <c r="F161" s="170" t="str">
        <f>IFERROR(VLOOKUP($D161,'Planes y paquetes'!$C$654:$E$687,2,FALSE),"")</f>
        <v>No Residencial</v>
      </c>
      <c r="G161" s="170" t="str">
        <f>IFERROR(VLOOKUP($D161,'Planes y paquetes'!$C$654:$E$687,3,FALSE),"")</f>
        <v>Internet fijo</v>
      </c>
      <c r="H161" s="170" t="str">
        <f>IFERROR(VLOOKUP($D161,'Planes y paquetes'!$C$384:$P$417,13,FALSE),"")</f>
        <v>80 Mbps</v>
      </c>
      <c r="I161" s="198">
        <f>INDEX(vector.implicit.prices.broadband.after.discount,MATCH('Cálculos auxiliares'!D161,vector.plans.names,0))</f>
        <v>404</v>
      </c>
      <c r="J161" s="195">
        <f t="shared" si="15"/>
        <v>301.49333434871278</v>
      </c>
      <c r="K161" s="196">
        <f t="shared" si="16"/>
        <v>1.60964935186361E-3</v>
      </c>
      <c r="M161" s="197">
        <f t="shared" si="20"/>
        <v>80</v>
      </c>
      <c r="Q161" s="91">
        <f t="shared" si="23"/>
        <v>0</v>
      </c>
      <c r="R161" s="91">
        <f t="shared" si="23"/>
        <v>0</v>
      </c>
      <c r="S161" s="91">
        <f t="shared" si="23"/>
        <v>0</v>
      </c>
      <c r="T161" s="91">
        <f t="shared" si="23"/>
        <v>0</v>
      </c>
      <c r="U161" s="91">
        <f t="shared" si="23"/>
        <v>0</v>
      </c>
      <c r="V161" s="91">
        <f t="shared" si="23"/>
        <v>0</v>
      </c>
      <c r="W161" s="91">
        <f t="shared" si="23"/>
        <v>0</v>
      </c>
      <c r="X161" s="91">
        <f t="shared" si="23"/>
        <v>0</v>
      </c>
      <c r="Y161" s="91">
        <f t="shared" si="23"/>
        <v>0</v>
      </c>
      <c r="Z161" s="91">
        <f t="shared" si="23"/>
        <v>0</v>
      </c>
      <c r="AA161" s="91">
        <f t="shared" si="23"/>
        <v>1</v>
      </c>
      <c r="AB161" s="91">
        <f t="shared" si="23"/>
        <v>0</v>
      </c>
      <c r="AC161" s="91">
        <f t="shared" si="23"/>
        <v>0</v>
      </c>
      <c r="AD161" s="91">
        <f t="shared" si="23"/>
        <v>0</v>
      </c>
      <c r="AE161" s="91">
        <f t="shared" si="22"/>
        <v>0</v>
      </c>
      <c r="AF161" s="91">
        <f t="shared" si="22"/>
        <v>0</v>
      </c>
      <c r="AG161" s="91">
        <f t="shared" si="22"/>
        <v>0</v>
      </c>
      <c r="AH161" s="91">
        <f t="shared" si="22"/>
        <v>0</v>
      </c>
      <c r="AI161" s="91">
        <f t="shared" si="22"/>
        <v>0</v>
      </c>
      <c r="AJ161" s="91">
        <f t="shared" si="22"/>
        <v>0</v>
      </c>
      <c r="AK161" s="91">
        <f t="shared" si="22"/>
        <v>0</v>
      </c>
      <c r="AL161" s="91">
        <f t="shared" si="22"/>
        <v>0</v>
      </c>
    </row>
    <row r="162" spans="2:38" ht="12">
      <c r="B162" s="142" t="str">
        <f t="shared" si="19"/>
        <v>Infinitum Negocio 449No Residencial</v>
      </c>
      <c r="C162" s="91">
        <f t="shared" si="21"/>
        <v>29</v>
      </c>
      <c r="D162" s="143" t="str">
        <v>Infinitum Negocio 449</v>
      </c>
      <c r="F162" s="170" t="str">
        <f>IFERROR(VLOOKUP($D162,'Planes y paquetes'!$C$654:$E$687,2,FALSE),"")</f>
        <v>No Residencial</v>
      </c>
      <c r="G162" s="170" t="str">
        <f>IFERROR(VLOOKUP($D162,'Planes y paquetes'!$C$654:$E$687,3,FALSE),"")</f>
        <v>Internet fijo</v>
      </c>
      <c r="H162" s="170" t="str">
        <f>IFERROR(VLOOKUP($D162,'Planes y paquetes'!$C$384:$P$417,13,FALSE),"")</f>
        <v>100 Mbps</v>
      </c>
      <c r="I162" s="198">
        <f>INDEX(vector.implicit.prices.broadband.after.discount,MATCH('Cálculos auxiliares'!D162,vector.plans.names,0))</f>
        <v>344</v>
      </c>
      <c r="J162" s="195">
        <f t="shared" si="15"/>
        <v>241.49333434871278</v>
      </c>
      <c r="K162" s="196">
        <f t="shared" si="16"/>
        <v>1.0706557682857985E-3</v>
      </c>
      <c r="L162" s="193"/>
      <c r="M162" s="197">
        <f t="shared" si="20"/>
        <v>100</v>
      </c>
      <c r="Q162" s="91">
        <f t="shared" si="23"/>
        <v>0</v>
      </c>
      <c r="R162" s="91">
        <f t="shared" si="23"/>
        <v>0</v>
      </c>
      <c r="S162" s="91">
        <f t="shared" si="23"/>
        <v>0</v>
      </c>
      <c r="T162" s="91">
        <f t="shared" si="23"/>
        <v>0</v>
      </c>
      <c r="U162" s="91">
        <f t="shared" si="23"/>
        <v>0</v>
      </c>
      <c r="V162" s="91">
        <f t="shared" si="23"/>
        <v>0</v>
      </c>
      <c r="W162" s="91">
        <f t="shared" si="23"/>
        <v>0</v>
      </c>
      <c r="X162" s="91">
        <f t="shared" si="23"/>
        <v>0</v>
      </c>
      <c r="Y162" s="91">
        <f t="shared" si="23"/>
        <v>0</v>
      </c>
      <c r="Z162" s="91">
        <f t="shared" si="23"/>
        <v>0</v>
      </c>
      <c r="AA162" s="91">
        <f t="shared" si="23"/>
        <v>0</v>
      </c>
      <c r="AB162" s="91">
        <f t="shared" si="23"/>
        <v>1</v>
      </c>
      <c r="AC162" s="91">
        <f t="shared" si="23"/>
        <v>0</v>
      </c>
      <c r="AD162" s="91">
        <f t="shared" si="23"/>
        <v>0</v>
      </c>
      <c r="AE162" s="91">
        <f t="shared" si="22"/>
        <v>0</v>
      </c>
      <c r="AF162" s="91">
        <f t="shared" si="22"/>
        <v>0</v>
      </c>
      <c r="AG162" s="91">
        <f t="shared" si="22"/>
        <v>0</v>
      </c>
      <c r="AH162" s="91">
        <f t="shared" si="22"/>
        <v>0</v>
      </c>
      <c r="AI162" s="91">
        <f t="shared" si="22"/>
        <v>0</v>
      </c>
      <c r="AJ162" s="91">
        <f t="shared" si="22"/>
        <v>0</v>
      </c>
      <c r="AK162" s="91">
        <f t="shared" si="22"/>
        <v>0</v>
      </c>
      <c r="AL162" s="91">
        <f t="shared" si="22"/>
        <v>0</v>
      </c>
    </row>
    <row r="163" spans="2:38" ht="12">
      <c r="B163" s="142" t="str">
        <f t="shared" si="19"/>
        <v>Infinitum Negocio 549No Residencial</v>
      </c>
      <c r="C163" s="91">
        <f t="shared" si="21"/>
        <v>30</v>
      </c>
      <c r="D163" s="143" t="str">
        <v>Infinitum Negocio 549</v>
      </c>
      <c r="F163" s="170" t="str">
        <f>IFERROR(VLOOKUP($D163,'Planes y paquetes'!$C$654:$E$687,2,FALSE),"")</f>
        <v>No Residencial</v>
      </c>
      <c r="G163" s="170" t="str">
        <f>IFERROR(VLOOKUP($D163,'Planes y paquetes'!$C$654:$E$687,3,FALSE),"")</f>
        <v>Internet fijo</v>
      </c>
      <c r="H163" s="170" t="str">
        <f>IFERROR(VLOOKUP($D163,'Planes y paquetes'!$C$384:$P$417,13,FALSE),"")</f>
        <v>200 Mbps</v>
      </c>
      <c r="I163" s="198">
        <f>INDEX(vector.implicit.prices.broadband.after.discount,MATCH('Cálculos auxiliares'!D163,vector.plans.names,0))</f>
        <v>389</v>
      </c>
      <c r="J163" s="195">
        <f t="shared" si="15"/>
        <v>286.49333434871278</v>
      </c>
      <c r="K163" s="196">
        <f t="shared" si="16"/>
        <v>2.1137961630354669E-3</v>
      </c>
      <c r="M163" s="197">
        <f t="shared" si="20"/>
        <v>200</v>
      </c>
      <c r="Q163" s="91">
        <f t="shared" si="23"/>
        <v>0</v>
      </c>
      <c r="R163" s="91">
        <f t="shared" si="23"/>
        <v>0</v>
      </c>
      <c r="S163" s="91">
        <f t="shared" si="23"/>
        <v>0</v>
      </c>
      <c r="T163" s="91">
        <f t="shared" si="23"/>
        <v>0</v>
      </c>
      <c r="U163" s="91">
        <f t="shared" si="23"/>
        <v>0</v>
      </c>
      <c r="V163" s="91">
        <f t="shared" si="23"/>
        <v>0</v>
      </c>
      <c r="W163" s="91">
        <f t="shared" si="23"/>
        <v>0</v>
      </c>
      <c r="X163" s="91">
        <f t="shared" si="23"/>
        <v>0</v>
      </c>
      <c r="Y163" s="91">
        <f t="shared" si="23"/>
        <v>0</v>
      </c>
      <c r="Z163" s="91">
        <f t="shared" si="23"/>
        <v>0</v>
      </c>
      <c r="AA163" s="91">
        <f t="shared" si="23"/>
        <v>0</v>
      </c>
      <c r="AB163" s="91">
        <f t="shared" si="23"/>
        <v>0</v>
      </c>
      <c r="AC163" s="91">
        <f t="shared" si="23"/>
        <v>0</v>
      </c>
      <c r="AD163" s="91">
        <f t="shared" si="23"/>
        <v>0</v>
      </c>
      <c r="AE163" s="91">
        <f t="shared" si="23"/>
        <v>1</v>
      </c>
      <c r="AF163" s="91">
        <f t="shared" si="23"/>
        <v>0</v>
      </c>
      <c r="AG163" s="91">
        <f t="shared" ref="AG163:AL167" si="24">IF(AG$133=$M163,1,0)</f>
        <v>0</v>
      </c>
      <c r="AH163" s="91">
        <f t="shared" si="24"/>
        <v>0</v>
      </c>
      <c r="AI163" s="91">
        <f t="shared" si="24"/>
        <v>0</v>
      </c>
      <c r="AJ163" s="91">
        <f t="shared" si="24"/>
        <v>0</v>
      </c>
      <c r="AK163" s="91">
        <f t="shared" si="24"/>
        <v>0</v>
      </c>
      <c r="AL163" s="91">
        <f t="shared" si="24"/>
        <v>0</v>
      </c>
    </row>
    <row r="164" spans="2:38" ht="12">
      <c r="B164" s="142" t="str">
        <f t="shared" si="19"/>
        <v>Infinitum Negocio 899No Residencial</v>
      </c>
      <c r="C164" s="91">
        <f t="shared" si="21"/>
        <v>31</v>
      </c>
      <c r="D164" s="143" t="str">
        <v>Infinitum Negocio 899</v>
      </c>
      <c r="F164" s="170" t="str">
        <f>IFERROR(VLOOKUP($D164,'Planes y paquetes'!$C$654:$E$687,2,FALSE),"")</f>
        <v>No Residencial</v>
      </c>
      <c r="G164" s="170" t="str">
        <f>IFERROR(VLOOKUP($D164,'Planes y paquetes'!$C$654:$E$687,3,FALSE),"")</f>
        <v>Internet fijo</v>
      </c>
      <c r="H164" s="170" t="str">
        <f>IFERROR(VLOOKUP($D164,'Planes y paquetes'!$C$384:$P$417,13,FALSE),"")</f>
        <v>750 Mbps</v>
      </c>
      <c r="I164" s="198">
        <f>INDEX(vector.implicit.prices.broadband.after.discount,MATCH('Cálculos auxiliares'!D164,vector.plans.names,0))</f>
        <v>774</v>
      </c>
      <c r="J164" s="195">
        <f t="shared" si="15"/>
        <v>671.49333434871278</v>
      </c>
      <c r="K164" s="196">
        <f t="shared" si="16"/>
        <v>5.18990631105822E-4</v>
      </c>
      <c r="M164" s="197">
        <f t="shared" si="20"/>
        <v>750</v>
      </c>
      <c r="Q164" s="91">
        <f t="shared" ref="Q164:AF167" si="25">IF(Q$133=$M164,1,0)</f>
        <v>0</v>
      </c>
      <c r="R164" s="91">
        <f t="shared" si="25"/>
        <v>0</v>
      </c>
      <c r="S164" s="91">
        <f t="shared" si="25"/>
        <v>0</v>
      </c>
      <c r="T164" s="91">
        <f t="shared" si="25"/>
        <v>0</v>
      </c>
      <c r="U164" s="91">
        <f t="shared" si="25"/>
        <v>0</v>
      </c>
      <c r="V164" s="91">
        <f t="shared" si="25"/>
        <v>0</v>
      </c>
      <c r="W164" s="91">
        <f t="shared" si="25"/>
        <v>0</v>
      </c>
      <c r="X164" s="91">
        <f t="shared" si="25"/>
        <v>0</v>
      </c>
      <c r="Y164" s="91">
        <f t="shared" si="25"/>
        <v>0</v>
      </c>
      <c r="Z164" s="91">
        <f t="shared" si="25"/>
        <v>0</v>
      </c>
      <c r="AA164" s="91">
        <f t="shared" si="25"/>
        <v>0</v>
      </c>
      <c r="AB164" s="91">
        <f t="shared" si="25"/>
        <v>0</v>
      </c>
      <c r="AC164" s="91">
        <f t="shared" si="25"/>
        <v>0</v>
      </c>
      <c r="AD164" s="91">
        <f t="shared" si="25"/>
        <v>0</v>
      </c>
      <c r="AE164" s="91">
        <f t="shared" si="25"/>
        <v>0</v>
      </c>
      <c r="AF164" s="91">
        <f t="shared" si="25"/>
        <v>0</v>
      </c>
      <c r="AG164" s="91">
        <f t="shared" si="24"/>
        <v>0</v>
      </c>
      <c r="AH164" s="91">
        <f t="shared" si="24"/>
        <v>0</v>
      </c>
      <c r="AI164" s="91">
        <f t="shared" si="24"/>
        <v>0</v>
      </c>
      <c r="AJ164" s="91">
        <f t="shared" si="24"/>
        <v>0</v>
      </c>
      <c r="AK164" s="91">
        <f t="shared" si="24"/>
        <v>1</v>
      </c>
      <c r="AL164" s="91">
        <f t="shared" si="24"/>
        <v>0</v>
      </c>
    </row>
    <row r="165" spans="2:38" ht="12">
      <c r="B165" s="142" t="str">
        <f t="shared" si="19"/>
        <v>Infinitum NegocioNo Residencial</v>
      </c>
      <c r="C165" s="91">
        <f t="shared" si="21"/>
        <v>32</v>
      </c>
      <c r="D165" s="143" t="str">
        <v>Infinitum Negocio</v>
      </c>
      <c r="F165" s="170" t="str">
        <f>IFERROR(VLOOKUP($D165,'Planes y paquetes'!$C$654:$E$687,2,FALSE),"")</f>
        <v>No Residencial</v>
      </c>
      <c r="G165" s="170" t="str">
        <f>IFERROR(VLOOKUP($D165,'Planes y paquetes'!$C$654:$E$687,3,FALSE),"")</f>
        <v>Telefonía fija + Internet fijo</v>
      </c>
      <c r="H165" s="170" t="str">
        <f>IFERROR(VLOOKUP($D165,'Planes y paquetes'!$C$384:$P$417,13,FALSE),"")</f>
        <v>30 Mbps</v>
      </c>
      <c r="I165" s="198">
        <f>INDEX(vector.implicit.prices.broadband.after.discount,MATCH('Cálculos auxiliares'!D165,vector.plans.names,0))</f>
        <v>276</v>
      </c>
      <c r="J165" s="195">
        <f t="shared" si="15"/>
        <v>276</v>
      </c>
      <c r="K165" s="196">
        <f t="shared" si="16"/>
        <v>3.7113170278798616E-3</v>
      </c>
      <c r="M165" s="197">
        <f t="shared" si="20"/>
        <v>30</v>
      </c>
      <c r="Q165" s="91">
        <f t="shared" si="25"/>
        <v>0</v>
      </c>
      <c r="R165" s="91">
        <f t="shared" si="25"/>
        <v>0</v>
      </c>
      <c r="S165" s="91">
        <f t="shared" si="25"/>
        <v>0</v>
      </c>
      <c r="T165" s="91">
        <f t="shared" si="25"/>
        <v>0</v>
      </c>
      <c r="U165" s="91">
        <f t="shared" si="25"/>
        <v>0</v>
      </c>
      <c r="V165" s="91">
        <f t="shared" si="25"/>
        <v>1</v>
      </c>
      <c r="W165" s="91">
        <f t="shared" si="25"/>
        <v>0</v>
      </c>
      <c r="X165" s="91">
        <f t="shared" si="25"/>
        <v>0</v>
      </c>
      <c r="Y165" s="91">
        <f t="shared" si="25"/>
        <v>0</v>
      </c>
      <c r="Z165" s="91">
        <f t="shared" si="25"/>
        <v>0</v>
      </c>
      <c r="AA165" s="91">
        <f t="shared" si="25"/>
        <v>0</v>
      </c>
      <c r="AB165" s="91">
        <f t="shared" si="25"/>
        <v>0</v>
      </c>
      <c r="AC165" s="91">
        <f t="shared" si="25"/>
        <v>0</v>
      </c>
      <c r="AD165" s="91">
        <f t="shared" si="25"/>
        <v>0</v>
      </c>
      <c r="AE165" s="91">
        <f t="shared" si="25"/>
        <v>0</v>
      </c>
      <c r="AF165" s="91">
        <f t="shared" si="25"/>
        <v>0</v>
      </c>
      <c r="AG165" s="91">
        <f t="shared" si="24"/>
        <v>0</v>
      </c>
      <c r="AH165" s="91">
        <f t="shared" si="24"/>
        <v>0</v>
      </c>
      <c r="AI165" s="91">
        <f t="shared" si="24"/>
        <v>0</v>
      </c>
      <c r="AJ165" s="91">
        <f t="shared" si="24"/>
        <v>0</v>
      </c>
      <c r="AK165" s="91">
        <f t="shared" si="24"/>
        <v>0</v>
      </c>
      <c r="AL165" s="91">
        <f t="shared" si="24"/>
        <v>0</v>
      </c>
    </row>
    <row r="166" spans="2:38" ht="12">
      <c r="B166" s="142" t="str">
        <f t="shared" si="19"/>
        <v>Infinitum Negocio RedNo Residencial</v>
      </c>
      <c r="C166" s="91">
        <f t="shared" si="21"/>
        <v>33</v>
      </c>
      <c r="D166" s="143" t="str">
        <v>Infinitum Negocio Red</v>
      </c>
      <c r="F166" s="170" t="str">
        <f>IFERROR(VLOOKUP($D166,'Planes y paquetes'!$C$654:$E$687,2,FALSE),"")</f>
        <v>No Residencial</v>
      </c>
      <c r="G166" s="170" t="str">
        <f>IFERROR(VLOOKUP($D166,'Planes y paquetes'!$C$654:$E$687,3,FALSE),"")</f>
        <v>Telefonía fija + Internet fijo</v>
      </c>
      <c r="H166" s="170" t="str">
        <f>IFERROR(VLOOKUP($D166,'Planes y paquetes'!$C$384:$P$417,13,FALSE),"")</f>
        <v>50 Mbps</v>
      </c>
      <c r="I166" s="198">
        <f>INDEX(vector.implicit.prices.broadband.after.discount,MATCH('Cálculos auxiliares'!D166,vector.plans.names,0))</f>
        <v>458</v>
      </c>
      <c r="J166" s="195">
        <f t="shared" si="15"/>
        <v>458</v>
      </c>
      <c r="K166" s="196">
        <f>VLOOKUP(B166,AEP.broadband.distribution.by.plan,6+MATCH(Year.selected,Years,0),FALSE)</f>
        <v>7.9758378815913912E-4</v>
      </c>
      <c r="M166" s="197">
        <f t="shared" si="20"/>
        <v>50</v>
      </c>
      <c r="Q166" s="91">
        <f t="shared" si="25"/>
        <v>0</v>
      </c>
      <c r="R166" s="91">
        <f t="shared" si="25"/>
        <v>0</v>
      </c>
      <c r="S166" s="91">
        <f t="shared" si="25"/>
        <v>0</v>
      </c>
      <c r="T166" s="91">
        <f t="shared" si="25"/>
        <v>0</v>
      </c>
      <c r="U166" s="91">
        <f t="shared" si="25"/>
        <v>0</v>
      </c>
      <c r="V166" s="91">
        <f t="shared" si="25"/>
        <v>0</v>
      </c>
      <c r="W166" s="91">
        <f t="shared" si="25"/>
        <v>0</v>
      </c>
      <c r="X166" s="91">
        <f t="shared" si="25"/>
        <v>1</v>
      </c>
      <c r="Y166" s="91">
        <f t="shared" si="25"/>
        <v>0</v>
      </c>
      <c r="Z166" s="91">
        <f t="shared" si="25"/>
        <v>0</v>
      </c>
      <c r="AA166" s="91">
        <f t="shared" si="25"/>
        <v>0</v>
      </c>
      <c r="AB166" s="91">
        <f t="shared" si="25"/>
        <v>0</v>
      </c>
      <c r="AC166" s="91">
        <f t="shared" si="25"/>
        <v>0</v>
      </c>
      <c r="AD166" s="91">
        <f t="shared" si="25"/>
        <v>0</v>
      </c>
      <c r="AE166" s="91">
        <f t="shared" si="25"/>
        <v>0</v>
      </c>
      <c r="AF166" s="91">
        <f t="shared" si="25"/>
        <v>0</v>
      </c>
      <c r="AG166" s="91">
        <f t="shared" si="24"/>
        <v>0</v>
      </c>
      <c r="AH166" s="91">
        <f t="shared" si="24"/>
        <v>0</v>
      </c>
      <c r="AI166" s="91">
        <f t="shared" si="24"/>
        <v>0</v>
      </c>
      <c r="AJ166" s="91">
        <f t="shared" si="24"/>
        <v>0</v>
      </c>
      <c r="AK166" s="91">
        <f t="shared" si="24"/>
        <v>0</v>
      </c>
      <c r="AL166" s="91">
        <f t="shared" si="24"/>
        <v>0</v>
      </c>
    </row>
    <row r="167" spans="2:38" ht="12.75" thickBot="1">
      <c r="B167" s="142" t="str">
        <f t="shared" si="19"/>
        <v>Infinitum Negocio PremiumNo Residencial</v>
      </c>
      <c r="C167" s="91">
        <f t="shared" si="21"/>
        <v>34</v>
      </c>
      <c r="D167" s="143" t="str">
        <v>Infinitum Negocio Premium</v>
      </c>
      <c r="F167" s="170" t="str">
        <f>IFERROR(VLOOKUP($D167,'Planes y paquetes'!$C$654:$E$687,2,FALSE),"")</f>
        <v>No Residencial</v>
      </c>
      <c r="G167" s="170" t="str">
        <f>IFERROR(VLOOKUP($D167,'Planes y paquetes'!$C$654:$E$687,3,FALSE),"")</f>
        <v>Telefonía fija + Internet fijo</v>
      </c>
      <c r="H167" s="170" t="str">
        <f>IFERROR(VLOOKUP($D167,'Planes y paquetes'!$C$384:$P$417,13,FALSE),"")</f>
        <v>100 Mbps</v>
      </c>
      <c r="I167" s="198">
        <f>INDEX(vector.implicit.prices.broadband.after.discount,MATCH('Cálculos auxiliares'!D167,vector.plans.names,0))</f>
        <v>1270</v>
      </c>
      <c r="J167" s="195">
        <f t="shared" si="15"/>
        <v>1270</v>
      </c>
      <c r="K167" s="196">
        <f>VLOOKUP(B167,AEP.broadband.distribution.by.plan,6+MATCH(Year.selected,Years,0),FALSE)</f>
        <v>1.1290354259529166E-3</v>
      </c>
      <c r="M167" s="197">
        <f t="shared" si="20"/>
        <v>100</v>
      </c>
      <c r="Q167" s="91">
        <f t="shared" si="25"/>
        <v>0</v>
      </c>
      <c r="R167" s="91">
        <f t="shared" si="25"/>
        <v>0</v>
      </c>
      <c r="S167" s="91">
        <f t="shared" si="25"/>
        <v>0</v>
      </c>
      <c r="T167" s="91">
        <f t="shared" si="25"/>
        <v>0</v>
      </c>
      <c r="U167" s="91">
        <f t="shared" si="25"/>
        <v>0</v>
      </c>
      <c r="V167" s="91">
        <f t="shared" si="25"/>
        <v>0</v>
      </c>
      <c r="W167" s="91">
        <f t="shared" si="25"/>
        <v>0</v>
      </c>
      <c r="X167" s="91">
        <f t="shared" si="25"/>
        <v>0</v>
      </c>
      <c r="Y167" s="91">
        <f t="shared" si="25"/>
        <v>0</v>
      </c>
      <c r="Z167" s="91">
        <f t="shared" si="25"/>
        <v>0</v>
      </c>
      <c r="AA167" s="91">
        <f t="shared" si="25"/>
        <v>0</v>
      </c>
      <c r="AB167" s="91">
        <f t="shared" si="25"/>
        <v>1</v>
      </c>
      <c r="AC167" s="91">
        <f t="shared" si="25"/>
        <v>0</v>
      </c>
      <c r="AD167" s="91">
        <f t="shared" si="25"/>
        <v>0</v>
      </c>
      <c r="AE167" s="91">
        <f t="shared" si="25"/>
        <v>0</v>
      </c>
      <c r="AF167" s="91">
        <f t="shared" si="25"/>
        <v>0</v>
      </c>
      <c r="AG167" s="91">
        <f t="shared" si="24"/>
        <v>0</v>
      </c>
      <c r="AH167" s="91">
        <f t="shared" si="24"/>
        <v>0</v>
      </c>
      <c r="AI167" s="91">
        <f t="shared" si="24"/>
        <v>0</v>
      </c>
      <c r="AJ167" s="91">
        <f t="shared" si="24"/>
        <v>0</v>
      </c>
      <c r="AK167" s="91">
        <f t="shared" si="24"/>
        <v>0</v>
      </c>
      <c r="AL167" s="91">
        <f t="shared" si="24"/>
        <v>0</v>
      </c>
    </row>
    <row r="168" spans="2:38" ht="12">
      <c r="C168" s="50"/>
      <c r="D168" s="50"/>
      <c r="E168" s="50"/>
      <c r="F168" s="50"/>
      <c r="G168" s="50"/>
      <c r="H168" s="50"/>
      <c r="I168" s="50"/>
      <c r="J168" s="50"/>
      <c r="K168" s="50"/>
      <c r="L168" s="174" t="s">
        <v>393</v>
      </c>
      <c r="M168" s="50"/>
      <c r="Q168" s="50" t="s">
        <v>407</v>
      </c>
      <c r="R168" s="50" t="s">
        <v>407</v>
      </c>
      <c r="S168" s="50" t="s">
        <v>407</v>
      </c>
      <c r="T168" s="50"/>
      <c r="U168" s="50" t="s">
        <v>407</v>
      </c>
      <c r="V168" s="50" t="s">
        <v>407</v>
      </c>
      <c r="W168" s="50" t="s">
        <v>407</v>
      </c>
      <c r="X168" s="50" t="s">
        <v>407</v>
      </c>
      <c r="Y168" s="50" t="s">
        <v>407</v>
      </c>
      <c r="Z168" s="50" t="s">
        <v>407</v>
      </c>
      <c r="AA168" s="50" t="s">
        <v>407</v>
      </c>
      <c r="AB168" s="50" t="s">
        <v>407</v>
      </c>
      <c r="AC168" s="50" t="s">
        <v>407</v>
      </c>
      <c r="AD168" s="50" t="s">
        <v>407</v>
      </c>
      <c r="AE168" s="50" t="s">
        <v>407</v>
      </c>
      <c r="AF168" s="50" t="s">
        <v>407</v>
      </c>
      <c r="AG168" s="50" t="s">
        <v>407</v>
      </c>
      <c r="AH168" s="50" t="s">
        <v>407</v>
      </c>
      <c r="AI168" s="50" t="s">
        <v>407</v>
      </c>
      <c r="AJ168" s="50" t="s">
        <v>407</v>
      </c>
      <c r="AK168" s="50" t="s">
        <v>407</v>
      </c>
      <c r="AL168" s="50" t="s">
        <v>407</v>
      </c>
    </row>
    <row r="169" spans="2:38" ht="12">
      <c r="C169" s="96"/>
    </row>
    <row r="170" spans="2:38" ht="12">
      <c r="C170" s="96" t="s">
        <v>408</v>
      </c>
      <c r="Q170" s="199">
        <f t="shared" ref="Q170:AL170" si="26">Q133</f>
        <v>3</v>
      </c>
      <c r="R170" s="199">
        <f t="shared" si="26"/>
        <v>5</v>
      </c>
      <c r="S170" s="199">
        <f t="shared" si="26"/>
        <v>10</v>
      </c>
      <c r="T170" s="199">
        <f t="shared" si="26"/>
        <v>15</v>
      </c>
      <c r="U170" s="199">
        <f t="shared" si="26"/>
        <v>20</v>
      </c>
      <c r="V170" s="199">
        <f t="shared" si="26"/>
        <v>30</v>
      </c>
      <c r="W170" s="199">
        <f t="shared" si="26"/>
        <v>40</v>
      </c>
      <c r="X170" s="199">
        <f t="shared" si="26"/>
        <v>50</v>
      </c>
      <c r="Y170" s="199">
        <f t="shared" si="26"/>
        <v>60</v>
      </c>
      <c r="Z170" s="199">
        <f t="shared" si="26"/>
        <v>70</v>
      </c>
      <c r="AA170" s="199">
        <f t="shared" si="26"/>
        <v>80</v>
      </c>
      <c r="AB170" s="199">
        <f t="shared" si="26"/>
        <v>100</v>
      </c>
      <c r="AC170" s="199">
        <f t="shared" si="26"/>
        <v>120</v>
      </c>
      <c r="AD170" s="199">
        <f t="shared" si="26"/>
        <v>150</v>
      </c>
      <c r="AE170" s="199">
        <f t="shared" si="26"/>
        <v>200</v>
      </c>
      <c r="AF170" s="199">
        <f t="shared" si="26"/>
        <v>250</v>
      </c>
      <c r="AG170" s="199">
        <f t="shared" si="26"/>
        <v>300</v>
      </c>
      <c r="AH170" s="199">
        <f t="shared" si="26"/>
        <v>350</v>
      </c>
      <c r="AI170" s="199">
        <f t="shared" si="26"/>
        <v>400</v>
      </c>
      <c r="AJ170" s="199">
        <f t="shared" si="26"/>
        <v>500</v>
      </c>
      <c r="AK170" s="199">
        <f t="shared" si="26"/>
        <v>750</v>
      </c>
      <c r="AL170" s="199">
        <f t="shared" si="26"/>
        <v>1000</v>
      </c>
    </row>
    <row r="171" spans="2:38" ht="27.95" customHeight="1">
      <c r="H171" s="200" t="str">
        <f>"MXN/ Mbps "&amp;Year.selected</f>
        <v>MXN/ Mbps 2024</v>
      </c>
      <c r="I171" s="201"/>
      <c r="K171" s="202"/>
      <c r="L171" s="203"/>
      <c r="M171" s="40" t="s">
        <v>409</v>
      </c>
      <c r="N171" s="40" t="s">
        <v>410</v>
      </c>
      <c r="O171" s="40" t="s">
        <v>411</v>
      </c>
      <c r="P171" s="40" t="s">
        <v>412</v>
      </c>
      <c r="Q171" s="40" t="s">
        <v>413</v>
      </c>
    </row>
    <row r="172" spans="2:38" ht="42.95" customHeight="1">
      <c r="C172" s="69"/>
      <c r="D172" s="204" t="s">
        <v>414</v>
      </c>
      <c r="E172" s="205" t="str">
        <f>"Suscriptores en el perfil en el año "&amp;Year.selected</f>
        <v>Suscriptores en el perfil en el año 2024</v>
      </c>
      <c r="F172" s="40" t="s">
        <v>415</v>
      </c>
      <c r="G172" s="40" t="s">
        <v>416</v>
      </c>
      <c r="H172" s="40" t="s">
        <v>417</v>
      </c>
      <c r="I172" s="206" t="s">
        <v>418</v>
      </c>
      <c r="J172" s="40" t="s">
        <v>419</v>
      </c>
      <c r="K172" s="202"/>
      <c r="L172" s="207"/>
      <c r="M172" s="40" t="s">
        <v>418</v>
      </c>
      <c r="N172" s="40" t="s">
        <v>420</v>
      </c>
      <c r="O172" s="40" t="s">
        <v>420</v>
      </c>
      <c r="P172" s="40" t="s">
        <v>420</v>
      </c>
      <c r="Q172" s="40" t="s">
        <v>420</v>
      </c>
    </row>
    <row r="173" spans="2:38" ht="12">
      <c r="C173" s="95">
        <v>1</v>
      </c>
      <c r="D173" s="208">
        <v>5</v>
      </c>
      <c r="E173" s="171">
        <f t="shared" ref="E173:E192" si="27">SUMIFS($K$134:$K$167,$M$134:$M$167,D173)</f>
        <v>0</v>
      </c>
      <c r="F173" s="169" t="str">
        <f t="shared" ref="F173:F192" si="28">IFERROR(AVERAGEIFS($J$134:$J$167,$M$134:$M$167,$D173),"")</f>
        <v/>
      </c>
      <c r="G173" s="169" t="str">
        <f>IFERROR(SUMPRODUCT($J$134:$J$167,R$134:R$167,$K$134:$K$167)/E173,"")</f>
        <v/>
      </c>
      <c r="H173" s="172" t="str">
        <f t="shared" ref="H173:I190" si="29">IFERROR(F173/$D173,"")</f>
        <v/>
      </c>
      <c r="I173" s="172" t="str">
        <f t="shared" si="29"/>
        <v/>
      </c>
      <c r="J173" s="209" t="str">
        <f>H173</f>
        <v/>
      </c>
      <c r="K173" s="210"/>
      <c r="L173" s="208">
        <v>5</v>
      </c>
      <c r="M173" s="126">
        <v>24.640727940814351</v>
      </c>
      <c r="N173" s="126">
        <v>14.970654913370049</v>
      </c>
      <c r="O173" s="126">
        <v>14.457697534284586</v>
      </c>
      <c r="P173" s="126">
        <v>10.738</v>
      </c>
      <c r="Q173" s="126"/>
    </row>
    <row r="174" spans="2:38" ht="12">
      <c r="C174" s="91">
        <f>C173+1</f>
        <v>2</v>
      </c>
      <c r="D174" s="208">
        <v>15</v>
      </c>
      <c r="E174" s="171">
        <f t="shared" si="27"/>
        <v>2.8593632236577182E-2</v>
      </c>
      <c r="F174" s="169">
        <f t="shared" si="28"/>
        <v>73.333333333333329</v>
      </c>
      <c r="G174" s="169">
        <f>IFERROR(SUMPRODUCT($J$134:$J$167,T$134:T$167,$K$134:$K$167)/E174,"")</f>
        <v>70.469803395238543</v>
      </c>
      <c r="H174" s="172">
        <f t="shared" si="29"/>
        <v>4.8888888888888884</v>
      </c>
      <c r="I174" s="172">
        <f t="shared" si="29"/>
        <v>4.6979868930159032</v>
      </c>
      <c r="J174" s="209">
        <f>AVERAGE(H174,Q174)</f>
        <v>4.2341111111111109</v>
      </c>
      <c r="K174" s="210"/>
      <c r="L174" s="208">
        <v>15</v>
      </c>
      <c r="M174" s="126"/>
      <c r="N174" s="126"/>
      <c r="O174" s="126"/>
      <c r="P174" s="126"/>
      <c r="Q174" s="126">
        <v>3.579333333333333</v>
      </c>
    </row>
    <row r="175" spans="2:38" ht="12">
      <c r="C175" s="91">
        <f t="shared" ref="C175:C190" si="30">C174+1</f>
        <v>3</v>
      </c>
      <c r="D175" s="208">
        <v>20</v>
      </c>
      <c r="E175" s="171">
        <f t="shared" si="27"/>
        <v>0</v>
      </c>
      <c r="F175" s="169" t="str">
        <f t="shared" si="28"/>
        <v/>
      </c>
      <c r="G175" s="169" t="str">
        <f>IFERROR(SUMPRODUCT($J$134:$J$167,U$134:U$167,$K$134:$K$167)/E175,"")</f>
        <v/>
      </c>
      <c r="H175" s="172" t="str">
        <f t="shared" si="29"/>
        <v/>
      </c>
      <c r="I175" s="172" t="str">
        <f t="shared" si="29"/>
        <v/>
      </c>
      <c r="J175" s="209">
        <f t="shared" ref="J175:J192" si="31">AVERAGE(H175,Q175)</f>
        <v>6.0609546732533977</v>
      </c>
      <c r="K175" s="203"/>
      <c r="L175" s="208">
        <v>20</v>
      </c>
      <c r="M175" s="126">
        <v>5.837233825489184</v>
      </c>
      <c r="N175" s="126">
        <v>8.2825146166027803</v>
      </c>
      <c r="O175" s="126">
        <v>5.1475930254186402</v>
      </c>
      <c r="P175" s="126">
        <v>5.6204844768728908</v>
      </c>
      <c r="Q175" s="126">
        <v>6.0609546732533977</v>
      </c>
    </row>
    <row r="176" spans="2:38" ht="12">
      <c r="C176" s="91">
        <f t="shared" si="30"/>
        <v>4</v>
      </c>
      <c r="D176" s="208">
        <v>30</v>
      </c>
      <c r="E176" s="171">
        <f t="shared" si="27"/>
        <v>6.3075373387691883E-3</v>
      </c>
      <c r="F176" s="169">
        <f t="shared" si="28"/>
        <v>211.74666717435639</v>
      </c>
      <c r="G176" s="169">
        <f>IFERROR(SUMPRODUCT($J$134:$J$167,V$134:V$167,$K$134:$K$167)/E176,"")</f>
        <v>223.10588340113759</v>
      </c>
      <c r="H176" s="172">
        <f t="shared" si="29"/>
        <v>7.0582222391452127</v>
      </c>
      <c r="I176" s="172">
        <f t="shared" si="29"/>
        <v>7.4368627800379192</v>
      </c>
      <c r="J176" s="209">
        <f t="shared" si="31"/>
        <v>6.1888707947608506</v>
      </c>
      <c r="K176" s="203"/>
      <c r="L176" s="208">
        <v>30</v>
      </c>
      <c r="M176" s="126">
        <v>5.4659238249523581</v>
      </c>
      <c r="N176" s="126">
        <v>7.0268275908063664</v>
      </c>
      <c r="O176" s="126">
        <v>5.2061870205227621</v>
      </c>
      <c r="P176" s="126">
        <v>5.074779805378312</v>
      </c>
      <c r="Q176" s="126">
        <v>5.3195193503764875</v>
      </c>
    </row>
    <row r="177" spans="3:17" ht="12">
      <c r="C177" s="91">
        <f t="shared" si="30"/>
        <v>5</v>
      </c>
      <c r="D177" s="208">
        <v>40</v>
      </c>
      <c r="E177" s="171">
        <f t="shared" si="27"/>
        <v>4.7853217067605184E-4</v>
      </c>
      <c r="F177" s="169">
        <f t="shared" si="28"/>
        <v>169.99333434871278</v>
      </c>
      <c r="G177" s="169">
        <f>IFERROR(SUMPRODUCT($J$134:$J$167,W$134:W$167,$K$134:$K$167)/E177,"")</f>
        <v>161.50676351459134</v>
      </c>
      <c r="H177" s="172">
        <f t="shared" si="29"/>
        <v>4.2498333587178196</v>
      </c>
      <c r="I177" s="172">
        <f t="shared" si="29"/>
        <v>4.0376690878647832</v>
      </c>
      <c r="J177" s="209">
        <f t="shared" si="31"/>
        <v>4.0640364357500927</v>
      </c>
      <c r="K177" s="203"/>
      <c r="L177" s="208">
        <v>40</v>
      </c>
      <c r="M177" s="126">
        <v>5.319417217455733</v>
      </c>
      <c r="N177" s="126">
        <v>2.8196959679308331</v>
      </c>
      <c r="O177" s="126">
        <v>3.0244884433384414</v>
      </c>
      <c r="P177" s="126">
        <v>4.1969209131269061</v>
      </c>
      <c r="Q177" s="126">
        <v>3.8782395127823661</v>
      </c>
    </row>
    <row r="178" spans="3:17" ht="12">
      <c r="C178" s="91">
        <f t="shared" si="30"/>
        <v>6</v>
      </c>
      <c r="D178" s="208">
        <v>50</v>
      </c>
      <c r="E178" s="171">
        <f t="shared" si="27"/>
        <v>7.9758378815913912E-4</v>
      </c>
      <c r="F178" s="169">
        <f t="shared" si="28"/>
        <v>458</v>
      </c>
      <c r="G178" s="169">
        <f>IFERROR(SUMPRODUCT($J$134:$J$167,X$134:X$167,$K$134:$K$167)/E178,"")</f>
        <v>458.00000000000006</v>
      </c>
      <c r="H178" s="172">
        <f t="shared" si="29"/>
        <v>9.16</v>
      </c>
      <c r="I178" s="172">
        <f t="shared" si="29"/>
        <v>9.1600000000000019</v>
      </c>
      <c r="J178" s="209">
        <f t="shared" si="31"/>
        <v>5.9955194262602953</v>
      </c>
      <c r="K178" s="203"/>
      <c r="L178" s="208">
        <v>50</v>
      </c>
      <c r="M178" s="126">
        <v>5.2396843659884498</v>
      </c>
      <c r="N178" s="126">
        <v>5.3222479649836085</v>
      </c>
      <c r="O178" s="126">
        <v>3.8579446158526634</v>
      </c>
      <c r="P178" s="126">
        <v>4.8093815647632052</v>
      </c>
      <c r="Q178" s="126">
        <v>2.8310388525205905</v>
      </c>
    </row>
    <row r="179" spans="3:17" ht="12">
      <c r="C179" s="91">
        <f t="shared" si="30"/>
        <v>7</v>
      </c>
      <c r="D179" s="208">
        <v>60</v>
      </c>
      <c r="E179" s="171">
        <f t="shared" si="27"/>
        <v>0.73240729016201389</v>
      </c>
      <c r="F179" s="169">
        <f t="shared" si="28"/>
        <v>172.76146061516403</v>
      </c>
      <c r="G179" s="169">
        <f>IFERROR(SUMPRODUCT($J$134:$J$167,Y$134:Y$167,$K$134:$K$167)/E179,"")</f>
        <v>122.96705372384078</v>
      </c>
      <c r="H179" s="172">
        <f t="shared" si="29"/>
        <v>2.8793576769194003</v>
      </c>
      <c r="I179" s="172">
        <f t="shared" si="29"/>
        <v>2.0494508953973463</v>
      </c>
      <c r="J179" s="209">
        <f t="shared" si="31"/>
        <v>2.8682114909505927</v>
      </c>
      <c r="K179" s="203"/>
      <c r="L179" s="208">
        <v>60</v>
      </c>
      <c r="M179" s="126"/>
      <c r="N179" s="126"/>
      <c r="O179" s="126"/>
      <c r="P179" s="126">
        <v>3.8231386383937411</v>
      </c>
      <c r="Q179" s="126">
        <v>2.8570653049817851</v>
      </c>
    </row>
    <row r="180" spans="3:17" ht="12">
      <c r="C180" s="91">
        <f t="shared" si="30"/>
        <v>8</v>
      </c>
      <c r="D180" s="208">
        <v>70</v>
      </c>
      <c r="E180" s="171">
        <f t="shared" si="27"/>
        <v>0</v>
      </c>
      <c r="F180" s="169" t="str">
        <f t="shared" si="28"/>
        <v/>
      </c>
      <c r="G180" s="169" t="str">
        <f>IFERROR(SUMPRODUCT($J$134:$J$167,Z$134:Z$167,$K$134:$K$167)/E180,"")</f>
        <v/>
      </c>
      <c r="H180" s="172" t="str">
        <f t="shared" si="29"/>
        <v/>
      </c>
      <c r="I180" s="172" t="str">
        <f t="shared" si="29"/>
        <v/>
      </c>
      <c r="J180" s="209">
        <f t="shared" si="31"/>
        <v>2.7497330351849461</v>
      </c>
      <c r="K180" s="203"/>
      <c r="L180" s="208">
        <v>70</v>
      </c>
      <c r="M180" s="126"/>
      <c r="N180" s="126"/>
      <c r="O180" s="126"/>
      <c r="P180" s="126">
        <v>2.8744543440807591</v>
      </c>
      <c r="Q180" s="126">
        <v>2.7497330351849461</v>
      </c>
    </row>
    <row r="181" spans="3:17" ht="12">
      <c r="C181" s="91">
        <f t="shared" si="30"/>
        <v>9</v>
      </c>
      <c r="D181" s="208">
        <v>80</v>
      </c>
      <c r="E181" s="171">
        <f t="shared" si="27"/>
        <v>4.1178476207664683E-2</v>
      </c>
      <c r="F181" s="169">
        <f t="shared" si="28"/>
        <v>207.79415412675175</v>
      </c>
      <c r="G181" s="169">
        <f>IFERROR(SUMPRODUCT($J$134:$J$167,Z$134:Z$167,$K$134:$K$167)/E181,"")</f>
        <v>0</v>
      </c>
      <c r="H181" s="172">
        <f t="shared" si="29"/>
        <v>2.5974269265843968</v>
      </c>
      <c r="I181" s="172">
        <f t="shared" si="29"/>
        <v>0</v>
      </c>
      <c r="J181" s="209">
        <f t="shared" si="31"/>
        <v>2.8070858414877904</v>
      </c>
      <c r="K181" s="203"/>
      <c r="L181" s="208">
        <v>80</v>
      </c>
      <c r="M181" s="126"/>
      <c r="N181" s="126"/>
      <c r="O181" s="126"/>
      <c r="P181" s="126"/>
      <c r="Q181" s="126">
        <v>3.0167447563911836</v>
      </c>
    </row>
    <row r="182" spans="3:17" ht="12">
      <c r="C182" s="91">
        <f t="shared" si="30"/>
        <v>10</v>
      </c>
      <c r="D182" s="208">
        <v>100</v>
      </c>
      <c r="E182" s="171">
        <f t="shared" si="27"/>
        <v>8.2445291246155877E-2</v>
      </c>
      <c r="F182" s="169">
        <f t="shared" si="28"/>
        <v>432.20659111844816</v>
      </c>
      <c r="G182" s="169">
        <f>IFERROR(SUMPRODUCT($J$134:$J$167,AB$134:AB$167,$K$134:$K$167)/E182,"")</f>
        <v>251.552095243042</v>
      </c>
      <c r="H182" s="172">
        <f t="shared" si="29"/>
        <v>4.3220659111844819</v>
      </c>
      <c r="I182" s="172">
        <f t="shared" si="29"/>
        <v>2.5155209524304198</v>
      </c>
      <c r="J182" s="209">
        <f t="shared" si="31"/>
        <v>3.2868138397587074</v>
      </c>
      <c r="K182" s="203"/>
      <c r="L182" s="208">
        <v>100</v>
      </c>
      <c r="M182" s="126">
        <v>4.8002014101564185</v>
      </c>
      <c r="N182" s="126">
        <v>9.5234731813431672</v>
      </c>
      <c r="O182" s="126">
        <v>9.5093828110014496</v>
      </c>
      <c r="P182" s="126">
        <v>3.8767144757991843</v>
      </c>
      <c r="Q182" s="126">
        <v>2.251561768332933</v>
      </c>
    </row>
    <row r="183" spans="3:17" ht="12">
      <c r="C183" s="91">
        <f t="shared" si="30"/>
        <v>11</v>
      </c>
      <c r="D183" s="208">
        <v>120</v>
      </c>
      <c r="E183" s="171">
        <f t="shared" si="27"/>
        <v>0</v>
      </c>
      <c r="F183" s="169" t="str">
        <f t="shared" si="28"/>
        <v/>
      </c>
      <c r="G183" s="169" t="str">
        <f>IFERROR(SUMPRODUCT($J$134:$J$167,AC$134:AC$167,$K$134:$K$167)/E183,"")</f>
        <v/>
      </c>
      <c r="H183" s="172" t="str">
        <f t="shared" si="29"/>
        <v/>
      </c>
      <c r="I183" s="172" t="str">
        <f t="shared" si="29"/>
        <v/>
      </c>
      <c r="J183" s="209">
        <f t="shared" si="31"/>
        <v>2.0235909387997055</v>
      </c>
      <c r="K183" s="203"/>
      <c r="L183" s="208">
        <v>120</v>
      </c>
      <c r="M183" s="126"/>
      <c r="N183" s="126"/>
      <c r="O183" s="126"/>
      <c r="P183" s="126">
        <v>1.8011034319068921</v>
      </c>
      <c r="Q183" s="126">
        <v>2.0235909387997055</v>
      </c>
    </row>
    <row r="184" spans="3:17" ht="12">
      <c r="C184" s="91">
        <f t="shared" si="30"/>
        <v>12</v>
      </c>
      <c r="D184" s="208">
        <v>150</v>
      </c>
      <c r="E184" s="171">
        <f t="shared" si="27"/>
        <v>0</v>
      </c>
      <c r="F184" s="169" t="str">
        <f t="shared" si="28"/>
        <v/>
      </c>
      <c r="G184" s="169" t="str">
        <f>IFERROR(SUMPRODUCT($J$134:$J$167,AD$134:AD$167,$K$134:$K$167)/E184,"")</f>
        <v/>
      </c>
      <c r="H184" s="172" t="str">
        <f t="shared" si="29"/>
        <v/>
      </c>
      <c r="I184" s="172" t="str">
        <f t="shared" si="29"/>
        <v/>
      </c>
      <c r="J184" s="209">
        <f t="shared" si="31"/>
        <v>1.6315738740231585</v>
      </c>
      <c r="K184" s="203"/>
      <c r="L184" s="208">
        <v>150</v>
      </c>
      <c r="M184" s="126">
        <v>2.125359559767436</v>
      </c>
      <c r="N184" s="126">
        <v>2.273100795297327</v>
      </c>
      <c r="O184" s="126">
        <v>1.8855379602653795</v>
      </c>
      <c r="P184" s="126">
        <v>1.6315738740231585</v>
      </c>
      <c r="Q184" s="126">
        <v>1.6315738740231585</v>
      </c>
    </row>
    <row r="185" spans="3:17" ht="12">
      <c r="C185" s="91">
        <f t="shared" si="30"/>
        <v>13</v>
      </c>
      <c r="D185" s="208">
        <v>200</v>
      </c>
      <c r="E185" s="171">
        <f t="shared" si="27"/>
        <v>4.2567278482461987E-2</v>
      </c>
      <c r="F185" s="169">
        <f t="shared" si="28"/>
        <v>342.23365039849745</v>
      </c>
      <c r="G185" s="169">
        <f>IFERROR(SUMPRODUCT($J$134:$J$167,AE$134:AE$167,$K$134:$K$167)/E185,"")</f>
        <v>346.02874297099743</v>
      </c>
      <c r="H185" s="172">
        <f t="shared" si="29"/>
        <v>1.7111682519924871</v>
      </c>
      <c r="I185" s="172">
        <f t="shared" si="29"/>
        <v>1.7301437148549872</v>
      </c>
      <c r="J185" s="209">
        <f t="shared" si="31"/>
        <v>1.7033801240985622</v>
      </c>
      <c r="K185" s="203"/>
      <c r="L185" s="208">
        <v>200</v>
      </c>
      <c r="M185" s="126">
        <v>2.5204783680033698</v>
      </c>
      <c r="N185" s="126">
        <v>2.6765205321564323</v>
      </c>
      <c r="O185" s="126">
        <v>1.496937005132454</v>
      </c>
      <c r="P185" s="126">
        <v>1.7097499803272</v>
      </c>
      <c r="Q185" s="126">
        <v>1.6955919962046375</v>
      </c>
    </row>
    <row r="186" spans="3:17" ht="12">
      <c r="C186" s="91">
        <f t="shared" si="30"/>
        <v>14</v>
      </c>
      <c r="D186" s="208">
        <v>250</v>
      </c>
      <c r="E186" s="171">
        <f t="shared" si="27"/>
        <v>0</v>
      </c>
      <c r="F186" s="169" t="str">
        <f t="shared" si="28"/>
        <v/>
      </c>
      <c r="G186" s="169" t="str">
        <f>IFERROR(SUMPRODUCT($J$134:$J$167,AE$134:AE$167,$K$134:$K$167)/E186,"")</f>
        <v/>
      </c>
      <c r="H186" s="172" t="str">
        <f t="shared" si="29"/>
        <v/>
      </c>
      <c r="I186" s="172" t="str">
        <f t="shared" si="29"/>
        <v/>
      </c>
      <c r="J186" s="209">
        <f t="shared" si="31"/>
        <v>1.4014909245790941</v>
      </c>
      <c r="K186" s="203"/>
      <c r="L186" s="208">
        <v>250</v>
      </c>
      <c r="M186" s="126"/>
      <c r="N186" s="126"/>
      <c r="O186" s="126"/>
      <c r="P186" s="126">
        <v>1.431614300518222</v>
      </c>
      <c r="Q186" s="126">
        <v>1.4014909245790941</v>
      </c>
    </row>
    <row r="187" spans="3:17" ht="12">
      <c r="C187" s="91">
        <f t="shared" si="30"/>
        <v>15</v>
      </c>
      <c r="D187" s="208">
        <v>300</v>
      </c>
      <c r="E187" s="171">
        <f t="shared" si="27"/>
        <v>5.4620279246647169E-2</v>
      </c>
      <c r="F187" s="169">
        <f t="shared" si="28"/>
        <v>284.38976352868951</v>
      </c>
      <c r="G187" s="169">
        <f>IFERROR(SUMPRODUCT($J$134:$J$167,AE$134:AE$167,$K$134:$K$167)/E187,"")</f>
        <v>269.67093665832675</v>
      </c>
      <c r="H187" s="172">
        <f t="shared" si="29"/>
        <v>0.94796587842896507</v>
      </c>
      <c r="I187" s="172">
        <f t="shared" si="29"/>
        <v>0.89890312219442248</v>
      </c>
      <c r="J187" s="209">
        <f t="shared" si="31"/>
        <v>0.94796587842896507</v>
      </c>
      <c r="K187" s="203"/>
      <c r="L187" s="208">
        <v>300</v>
      </c>
      <c r="M187" s="126"/>
      <c r="N187" s="126">
        <v>2.3146567205309112</v>
      </c>
      <c r="O187" s="126">
        <v>3.2857408957107825</v>
      </c>
      <c r="P187" s="126"/>
      <c r="Q187" s="126"/>
    </row>
    <row r="188" spans="3:17" ht="12">
      <c r="C188" s="91">
        <f t="shared" si="30"/>
        <v>16</v>
      </c>
      <c r="D188" s="208">
        <v>350</v>
      </c>
      <c r="E188" s="171">
        <f t="shared" si="27"/>
        <v>0</v>
      </c>
      <c r="F188" s="169" t="str">
        <f t="shared" si="28"/>
        <v/>
      </c>
      <c r="G188" s="169" t="str">
        <f>IFERROR(SUMPRODUCT($J$134:$J$167,AE$134:AE$167,$K$134:$K$167)/E188,"")</f>
        <v/>
      </c>
      <c r="H188" s="172" t="str">
        <f t="shared" si="29"/>
        <v/>
      </c>
      <c r="I188" s="172" t="str">
        <f t="shared" si="29"/>
        <v/>
      </c>
      <c r="J188" s="209">
        <f>O188</f>
        <v>1.9527929089053901</v>
      </c>
      <c r="K188" s="211"/>
      <c r="L188" s="208">
        <v>350</v>
      </c>
      <c r="M188" s="126"/>
      <c r="N188" s="126">
        <v>1.9527929089053901</v>
      </c>
      <c r="O188" s="126">
        <v>1.9527929089053901</v>
      </c>
      <c r="P188" s="126"/>
      <c r="Q188" s="126"/>
    </row>
    <row r="189" spans="3:17" ht="12">
      <c r="C189" s="91">
        <f t="shared" si="30"/>
        <v>17</v>
      </c>
      <c r="D189" s="208">
        <v>400</v>
      </c>
      <c r="E189" s="171">
        <f t="shared" si="27"/>
        <v>0</v>
      </c>
      <c r="F189" s="169" t="str">
        <f t="shared" si="28"/>
        <v/>
      </c>
      <c r="G189" s="169" t="str">
        <f>IFERROR(SUMPRODUCT($J$134:$J$167,AE$134:AE$167,$K$134:$K$167)/E189,"")</f>
        <v/>
      </c>
      <c r="H189" s="172" t="str">
        <f t="shared" si="29"/>
        <v/>
      </c>
      <c r="I189" s="172" t="str">
        <f t="shared" si="29"/>
        <v/>
      </c>
      <c r="J189" s="209">
        <f>O189</f>
        <v>1.8377930997763605</v>
      </c>
      <c r="K189" s="211"/>
      <c r="L189" s="208">
        <v>400</v>
      </c>
      <c r="M189" s="126"/>
      <c r="N189" s="126">
        <v>1.6258924727169264</v>
      </c>
      <c r="O189" s="126">
        <v>1.8377930997763605</v>
      </c>
      <c r="P189" s="126"/>
      <c r="Q189" s="126"/>
    </row>
    <row r="190" spans="3:17" ht="12">
      <c r="C190" s="91">
        <f t="shared" si="30"/>
        <v>18</v>
      </c>
      <c r="D190" s="208">
        <v>500</v>
      </c>
      <c r="E190" s="171">
        <f t="shared" si="27"/>
        <v>3.3543412606874373E-4</v>
      </c>
      <c r="F190" s="169">
        <f t="shared" si="28"/>
        <v>583</v>
      </c>
      <c r="G190" s="169">
        <f>IFERROR(SUMPRODUCT($J$134:$J$167,AJ$134:AJ$167,$K$134:$K$167)/E190,"")</f>
        <v>583</v>
      </c>
      <c r="H190" s="172">
        <f t="shared" si="29"/>
        <v>1.1659999999999999</v>
      </c>
      <c r="I190" s="172">
        <f t="shared" si="29"/>
        <v>1.1659999999999999</v>
      </c>
      <c r="J190" s="209">
        <f t="shared" si="31"/>
        <v>1.1673063146267493</v>
      </c>
      <c r="L190" s="208">
        <v>500</v>
      </c>
      <c r="M190" s="126"/>
      <c r="N190" s="126"/>
      <c r="O190" s="126"/>
      <c r="P190" s="126">
        <v>1.2347227727776433</v>
      </c>
      <c r="Q190" s="126">
        <v>1.1686126292534986</v>
      </c>
    </row>
    <row r="191" spans="3:17" ht="12">
      <c r="C191" s="91">
        <f>C190+1</f>
        <v>19</v>
      </c>
      <c r="D191" s="208">
        <v>750</v>
      </c>
      <c r="E191" s="171">
        <f t="shared" si="27"/>
        <v>8.8237458397705578E-3</v>
      </c>
      <c r="F191" s="169">
        <f t="shared" si="28"/>
        <v>918.34382607599798</v>
      </c>
      <c r="G191" s="169">
        <f>IFERROR(SUMPRODUCT($J$134:$J$167,AJ$134:AJ$167,$K$134:$K$167)/E191,"")</f>
        <v>22.162707204989331</v>
      </c>
      <c r="H191" s="172">
        <f t="shared" ref="H191:I192" si="32">IFERROR(F191/$D191,"")</f>
        <v>1.2244584347679972</v>
      </c>
      <c r="I191" s="172">
        <f t="shared" si="32"/>
        <v>2.9550276273319107E-2</v>
      </c>
      <c r="J191" s="209">
        <f t="shared" si="31"/>
        <v>1.1366825507173319</v>
      </c>
      <c r="L191" s="208">
        <v>750</v>
      </c>
      <c r="M191" s="126"/>
      <c r="N191" s="126"/>
      <c r="O191" s="126"/>
      <c r="P191" s="126"/>
      <c r="Q191" s="126">
        <v>1.0489066666666667</v>
      </c>
    </row>
    <row r="192" spans="3:17" ht="12">
      <c r="C192" s="91">
        <f>C191+1</f>
        <v>20</v>
      </c>
      <c r="D192" s="208">
        <v>1000</v>
      </c>
      <c r="E192" s="171">
        <f t="shared" si="27"/>
        <v>1.4449191550354628E-3</v>
      </c>
      <c r="F192" s="169">
        <f t="shared" si="28"/>
        <v>1523.8642335930645</v>
      </c>
      <c r="G192" s="169">
        <f>IFERROR(SUMPRODUCT($J$134:$J$167,AL$134:AL$167,$K$134:$K$167)/E192,"")</f>
        <v>1117.6975951693075</v>
      </c>
      <c r="H192" s="172">
        <f t="shared" si="32"/>
        <v>1.5238642335930646</v>
      </c>
      <c r="I192" s="172">
        <f>IFERROR(G192/$D192,"")</f>
        <v>1.1176975951693076</v>
      </c>
      <c r="J192" s="209">
        <f t="shared" si="31"/>
        <v>1.1737769249584729</v>
      </c>
      <c r="L192" s="208">
        <v>1000</v>
      </c>
      <c r="M192" s="126"/>
      <c r="N192" s="126"/>
      <c r="O192" s="126"/>
      <c r="P192" s="126">
        <v>1.1413648100199798</v>
      </c>
      <c r="Q192" s="126">
        <v>0.82368961632388127</v>
      </c>
    </row>
    <row r="193" spans="1:16" ht="12">
      <c r="C193" s="96" t="s">
        <v>421</v>
      </c>
    </row>
    <row r="194" spans="1:16" ht="24">
      <c r="E194" s="212" t="s">
        <v>422</v>
      </c>
      <c r="G194" s="213" t="s">
        <v>423</v>
      </c>
      <c r="H194" s="214"/>
      <c r="I194" s="519" t="s">
        <v>424</v>
      </c>
      <c r="J194" s="519"/>
      <c r="K194" s="519"/>
      <c r="L194" s="519"/>
      <c r="M194" s="519"/>
      <c r="N194" s="519"/>
      <c r="O194" s="519"/>
      <c r="P194" s="519"/>
    </row>
    <row r="195" spans="1:16" ht="41.25" customHeight="1">
      <c r="C195" s="69"/>
      <c r="D195" s="204" t="s">
        <v>414</v>
      </c>
      <c r="E195" s="204" t="s">
        <v>425</v>
      </c>
      <c r="F195" s="204" t="s">
        <v>426</v>
      </c>
      <c r="G195" s="204" t="s">
        <v>427</v>
      </c>
      <c r="H195" s="215"/>
      <c r="I195" s="216" t="s">
        <v>428</v>
      </c>
      <c r="J195" s="217" t="s">
        <v>429</v>
      </c>
      <c r="K195" s="216" t="s">
        <v>409</v>
      </c>
      <c r="L195" s="216" t="s">
        <v>430</v>
      </c>
      <c r="M195" s="216" t="s">
        <v>431</v>
      </c>
      <c r="N195" s="216" t="s">
        <v>432</v>
      </c>
      <c r="O195" s="216" t="s">
        <v>433</v>
      </c>
      <c r="P195" s="216" t="s">
        <v>434</v>
      </c>
    </row>
    <row r="196" spans="1:16" ht="12">
      <c r="A196" s="218"/>
      <c r="C196" s="91">
        <f>1</f>
        <v>1</v>
      </c>
      <c r="D196" s="219">
        <v>15</v>
      </c>
      <c r="E196" s="169">
        <f t="shared" ref="E196:E205" si="33">EXP(TREND(LN($J$174:$J$192),LN($D$174:$D$192),LN(D196)))</f>
        <v>6.0794369763004932</v>
      </c>
      <c r="F196" s="192">
        <f t="shared" ref="F196:F202" si="34">D196*E196</f>
        <v>91.191554644507391</v>
      </c>
      <c r="G196" s="220">
        <f>AVERAGE(F196,P196)</f>
        <v>181.0700188290422</v>
      </c>
      <c r="H196" s="221"/>
      <c r="I196" s="126"/>
      <c r="J196" s="126"/>
      <c r="K196" s="126"/>
      <c r="L196" s="126"/>
      <c r="M196" s="126"/>
      <c r="N196" s="222"/>
      <c r="O196" s="222"/>
      <c r="P196" s="222">
        <v>270.948483013577</v>
      </c>
    </row>
    <row r="197" spans="1:16" ht="12">
      <c r="A197" s="218"/>
      <c r="C197" s="91">
        <f>C196+1</f>
        <v>2</v>
      </c>
      <c r="D197" s="219">
        <v>30</v>
      </c>
      <c r="E197" s="169">
        <f t="shared" si="33"/>
        <v>4.4664588596485428</v>
      </c>
      <c r="F197" s="192">
        <f>D197*E197</f>
        <v>133.99376578945629</v>
      </c>
      <c r="G197" s="220">
        <f t="shared" ref="G197:G207" si="35">AVERAGE(F197,P197)</f>
        <v>178.92633149329788</v>
      </c>
      <c r="H197" s="221"/>
      <c r="I197" s="126">
        <v>241.19985579690092</v>
      </c>
      <c r="J197" s="126">
        <v>228.94564677043039</v>
      </c>
      <c r="K197" s="126">
        <v>215.92036345868991</v>
      </c>
      <c r="L197" s="126">
        <v>210.54004281964521</v>
      </c>
      <c r="M197" s="126">
        <v>200.33097893425017</v>
      </c>
      <c r="N197" s="222">
        <v>200.33097893425017</v>
      </c>
      <c r="O197" s="222">
        <v>165.1834652538721</v>
      </c>
      <c r="P197" s="222">
        <v>223.8588971971395</v>
      </c>
    </row>
    <row r="198" spans="1:16" ht="12">
      <c r="A198" s="218"/>
      <c r="C198" s="91">
        <f t="shared" ref="C198:C207" si="36">C197+1</f>
        <v>3</v>
      </c>
      <c r="D198" s="219">
        <v>40</v>
      </c>
      <c r="E198" s="169">
        <f t="shared" si="33"/>
        <v>3.9299751799621006</v>
      </c>
      <c r="F198" s="192">
        <f t="shared" si="34"/>
        <v>157.19900719848403</v>
      </c>
      <c r="G198" s="220">
        <f t="shared" si="35"/>
        <v>202.52951367098132</v>
      </c>
      <c r="H198" s="221"/>
      <c r="I198" s="126">
        <v>267.48392347762547</v>
      </c>
      <c r="J198" s="126">
        <v>255.75503577588071</v>
      </c>
      <c r="K198" s="126">
        <v>242.78777755771156</v>
      </c>
      <c r="L198" s="126">
        <v>239.54309763183818</v>
      </c>
      <c r="M198" s="126">
        <v>230.42821514654574</v>
      </c>
      <c r="N198" s="222">
        <v>230.42821514654574</v>
      </c>
      <c r="O198" s="222">
        <v>191.21194237735199</v>
      </c>
      <c r="P198" s="222">
        <v>247.86002014347864</v>
      </c>
    </row>
    <row r="199" spans="1:16" ht="12">
      <c r="A199" s="218"/>
      <c r="C199" s="91">
        <f t="shared" si="36"/>
        <v>4</v>
      </c>
      <c r="D199" s="219">
        <v>50</v>
      </c>
      <c r="E199" s="169">
        <f t="shared" si="33"/>
        <v>3.5586364960605219</v>
      </c>
      <c r="F199" s="192">
        <f>D199*E199</f>
        <v>177.9318248030261</v>
      </c>
      <c r="G199" s="220">
        <f t="shared" si="35"/>
        <v>223.35034492190005</v>
      </c>
      <c r="H199" s="221"/>
      <c r="I199" s="126">
        <v>293.76799115834996</v>
      </c>
      <c r="J199" s="126">
        <v>280.67479860371833</v>
      </c>
      <c r="K199" s="126">
        <v>266.90875557014147</v>
      </c>
      <c r="L199" s="126">
        <v>265.28979211741114</v>
      </c>
      <c r="M199" s="126">
        <v>257.13994399178995</v>
      </c>
      <c r="N199" s="222">
        <v>257.13994399178995</v>
      </c>
      <c r="O199" s="222">
        <v>214.34601137044677</v>
      </c>
      <c r="P199" s="222">
        <v>268.76886504077402</v>
      </c>
    </row>
    <row r="200" spans="1:16" ht="12">
      <c r="A200" s="218"/>
      <c r="C200" s="91">
        <f t="shared" si="36"/>
        <v>5</v>
      </c>
      <c r="D200" s="219">
        <v>60</v>
      </c>
      <c r="E200" s="169">
        <f t="shared" si="33"/>
        <v>3.281431294164455</v>
      </c>
      <c r="F200" s="192">
        <f t="shared" si="34"/>
        <v>196.8858776498673</v>
      </c>
      <c r="G200" s="220">
        <f t="shared" si="35"/>
        <v>242.13212840623424</v>
      </c>
      <c r="H200" s="221"/>
      <c r="I200" s="126">
        <v>315.18549728739333</v>
      </c>
      <c r="J200" s="126">
        <v>301.84576150612099</v>
      </c>
      <c r="K200" s="126">
        <v>287.8952083704425</v>
      </c>
      <c r="L200" s="126">
        <v>288.13428962688744</v>
      </c>
      <c r="M200" s="126">
        <v>281.1441738552254</v>
      </c>
      <c r="N200" s="222">
        <v>281.1441738552254</v>
      </c>
      <c r="O200" s="222">
        <v>235.26435817724297</v>
      </c>
      <c r="P200" s="222">
        <v>287.37837916260116</v>
      </c>
    </row>
    <row r="201" spans="1:16" ht="12">
      <c r="A201" s="218"/>
      <c r="C201" s="91">
        <f t="shared" si="36"/>
        <v>6</v>
      </c>
      <c r="D201" s="219">
        <v>80</v>
      </c>
      <c r="E201" s="169">
        <f t="shared" si="33"/>
        <v>2.8872858669590387</v>
      </c>
      <c r="F201" s="192">
        <f t="shared" si="34"/>
        <v>230.98286935672309</v>
      </c>
      <c r="G201" s="220">
        <f t="shared" si="35"/>
        <v>297.32240327514205</v>
      </c>
      <c r="H201" s="221"/>
      <c r="I201" s="126"/>
      <c r="J201" s="126"/>
      <c r="K201" s="126"/>
      <c r="L201" s="126"/>
      <c r="M201" s="126"/>
      <c r="N201" s="222"/>
      <c r="O201" s="222"/>
      <c r="P201" s="222">
        <v>363.66193719356096</v>
      </c>
    </row>
    <row r="202" spans="1:16" ht="12">
      <c r="A202" s="218"/>
      <c r="C202" s="91">
        <f t="shared" si="36"/>
        <v>7</v>
      </c>
      <c r="D202" s="219">
        <v>100</v>
      </c>
      <c r="E202" s="169">
        <f t="shared" si="33"/>
        <v>2.6144696569862971</v>
      </c>
      <c r="F202" s="192">
        <f t="shared" si="34"/>
        <v>261.4469656986297</v>
      </c>
      <c r="G202" s="220">
        <f t="shared" si="35"/>
        <v>304.86883059925088</v>
      </c>
      <c r="H202" s="221"/>
      <c r="I202" s="126">
        <v>383.87838199343037</v>
      </c>
      <c r="J202" s="126">
        <v>370.07014652046655</v>
      </c>
      <c r="K202" s="126">
        <v>355.92904728068902</v>
      </c>
      <c r="L202" s="126">
        <v>363.27293812216448</v>
      </c>
      <c r="M202" s="126">
        <v>361.15718656170446</v>
      </c>
      <c r="N202" s="222">
        <v>361.15718656170446</v>
      </c>
      <c r="O202" s="222">
        <v>305.50293749320525</v>
      </c>
      <c r="P202" s="222">
        <v>348.29069549987207</v>
      </c>
    </row>
    <row r="203" spans="1:16" ht="12">
      <c r="A203" s="223">
        <v>200</v>
      </c>
      <c r="C203" s="91">
        <f t="shared" si="36"/>
        <v>8</v>
      </c>
      <c r="D203" s="219">
        <v>200</v>
      </c>
      <c r="E203" s="169">
        <f t="shared" si="33"/>
        <v>1.9208063523400112</v>
      </c>
      <c r="F203" s="192">
        <f>D203*E203</f>
        <v>384.16127046800221</v>
      </c>
      <c r="G203" s="220">
        <f t="shared" si="35"/>
        <v>420.55448191597702</v>
      </c>
      <c r="H203" s="221"/>
      <c r="I203" s="126">
        <v>501.62923326272562</v>
      </c>
      <c r="J203" s="126">
        <v>487.98067437588395</v>
      </c>
      <c r="K203" s="126">
        <v>474.72777429497148</v>
      </c>
      <c r="L203" s="126">
        <v>497.83417619441218</v>
      </c>
      <c r="M203" s="126">
        <v>507.78431652913929</v>
      </c>
      <c r="N203" s="222">
        <v>507.78431652913929</v>
      </c>
      <c r="O203" s="222">
        <v>435.83214862412115</v>
      </c>
      <c r="P203" s="222">
        <v>456.94769336395183</v>
      </c>
    </row>
    <row r="204" spans="1:16" ht="12">
      <c r="A204" s="223"/>
      <c r="C204" s="91">
        <f t="shared" si="36"/>
        <v>9</v>
      </c>
      <c r="D204" s="219">
        <v>300</v>
      </c>
      <c r="E204" s="169">
        <f t="shared" si="33"/>
        <v>1.6038254151669149</v>
      </c>
      <c r="F204" s="192">
        <f t="shared" ref="F204:F205" si="37">D204*E204</f>
        <v>481.14762455007445</v>
      </c>
      <c r="G204" s="220">
        <f t="shared" si="35"/>
        <v>481.14762455007445</v>
      </c>
      <c r="H204" s="221"/>
      <c r="I204" s="126"/>
      <c r="J204" s="126"/>
      <c r="K204" s="126"/>
      <c r="L204" s="126"/>
      <c r="M204" s="126"/>
      <c r="N204" s="222"/>
      <c r="O204" s="222"/>
      <c r="P204" s="222"/>
    </row>
    <row r="205" spans="1:16" ht="12">
      <c r="A205" s="223">
        <v>500</v>
      </c>
      <c r="C205" s="91">
        <f t="shared" si="36"/>
        <v>10</v>
      </c>
      <c r="D205" s="219">
        <v>500</v>
      </c>
      <c r="E205" s="169">
        <f t="shared" si="33"/>
        <v>1.2778426568047485</v>
      </c>
      <c r="F205" s="192">
        <f t="shared" si="37"/>
        <v>638.92132840237423</v>
      </c>
      <c r="G205" s="220">
        <f t="shared" si="35"/>
        <v>594.47151874893211</v>
      </c>
      <c r="H205" s="221"/>
      <c r="I205" s="126"/>
      <c r="J205" s="126"/>
      <c r="K205" s="126"/>
      <c r="L205" s="126"/>
      <c r="M205" s="126"/>
      <c r="N205" s="222"/>
      <c r="O205" s="222">
        <v>598.14161917278363</v>
      </c>
      <c r="P205" s="222">
        <v>550.02170909549011</v>
      </c>
    </row>
    <row r="206" spans="1:16" ht="12">
      <c r="A206" s="223"/>
      <c r="C206" s="91">
        <f t="shared" si="36"/>
        <v>11</v>
      </c>
      <c r="D206" s="219">
        <v>750</v>
      </c>
      <c r="E206" s="169">
        <f>EXP(TREND(LN($J$174:$J$192),LN($D$174:$D$192),LN(D206)))</f>
        <v>1.0669667595961225</v>
      </c>
      <c r="F206" s="192">
        <f>D206*E206</f>
        <v>800.22506969709184</v>
      </c>
      <c r="G206" s="220">
        <f t="shared" si="35"/>
        <v>669.60507628237576</v>
      </c>
      <c r="H206" s="221"/>
      <c r="I206" s="126"/>
      <c r="J206" s="126"/>
      <c r="K206" s="126"/>
      <c r="L206" s="126"/>
      <c r="M206" s="126"/>
      <c r="N206" s="222"/>
      <c r="O206" s="222"/>
      <c r="P206" s="222">
        <v>538.98508286765968</v>
      </c>
    </row>
    <row r="207" spans="1:16" ht="12.75" thickBot="1">
      <c r="A207" s="223">
        <v>1000</v>
      </c>
      <c r="C207" s="91">
        <f t="shared" si="36"/>
        <v>12</v>
      </c>
      <c r="D207" s="219">
        <v>1000</v>
      </c>
      <c r="E207" s="169">
        <f>EXP(TREND(LN($J$174:$J$192),LN($D$174:$D$192),LN(D207)))</f>
        <v>0.93880924795695997</v>
      </c>
      <c r="F207" s="192">
        <f>D207*E207</f>
        <v>938.80924795696001</v>
      </c>
      <c r="G207" s="220">
        <f t="shared" si="35"/>
        <v>828.92472884185179</v>
      </c>
      <c r="H207" s="221"/>
      <c r="I207" s="126"/>
      <c r="J207" s="126"/>
      <c r="K207" s="126"/>
      <c r="L207" s="126"/>
      <c r="M207" s="126"/>
      <c r="N207" s="192"/>
      <c r="O207" s="222">
        <v>871.13429421694445</v>
      </c>
      <c r="P207" s="222">
        <v>719.04020972674357</v>
      </c>
    </row>
    <row r="208" spans="1:16" ht="12">
      <c r="C208" s="50"/>
      <c r="D208" s="50"/>
      <c r="E208" s="50"/>
      <c r="F208" s="50"/>
      <c r="G208" s="50"/>
      <c r="H208" s="224"/>
      <c r="I208" s="50"/>
    </row>
    <row r="209" spans="1:38" ht="12">
      <c r="E209" s="225"/>
    </row>
    <row r="210" spans="1:38" ht="12"/>
    <row r="211" spans="1:38" ht="12">
      <c r="A211" s="94">
        <v>7</v>
      </c>
      <c r="B211" s="94" t="s">
        <v>435</v>
      </c>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row>
    <row r="212" spans="1:38" ht="12"/>
    <row r="213" spans="1:38" ht="12">
      <c r="D213" s="226" t="s">
        <v>436</v>
      </c>
      <c r="E213" s="204" t="s">
        <v>437</v>
      </c>
      <c r="F213" s="204" t="s">
        <v>369</v>
      </c>
      <c r="G213" s="204" t="s">
        <v>372</v>
      </c>
      <c r="H213" s="204" t="s">
        <v>215</v>
      </c>
    </row>
    <row r="214" spans="1:38" ht="12">
      <c r="D214" t="s">
        <v>150</v>
      </c>
      <c r="E214" s="16" t="s">
        <v>438</v>
      </c>
      <c r="F214" s="227">
        <v>688.8</v>
      </c>
      <c r="G214" t="s">
        <v>439</v>
      </c>
      <c r="J214" s="228"/>
    </row>
    <row r="215" spans="1:38" ht="12">
      <c r="D215" t="s">
        <v>440</v>
      </c>
      <c r="E215" s="16" t="s">
        <v>438</v>
      </c>
      <c r="F215" s="227">
        <v>1378.45</v>
      </c>
      <c r="G215" t="s">
        <v>439</v>
      </c>
      <c r="J215" s="228"/>
    </row>
    <row r="216" spans="1:38" ht="12.75" thickBot="1">
      <c r="D216" t="s">
        <v>441</v>
      </c>
      <c r="E216" s="16" t="s">
        <v>438</v>
      </c>
      <c r="F216" s="227">
        <v>1921.55</v>
      </c>
      <c r="G216" t="s">
        <v>439</v>
      </c>
      <c r="J216" s="228"/>
    </row>
    <row r="217" spans="1:38" ht="12">
      <c r="D217" s="149"/>
      <c r="E217" s="149"/>
      <c r="F217" s="149"/>
      <c r="G217" s="149"/>
      <c r="H217" s="149"/>
    </row>
    <row r="218" spans="1:38" ht="12">
      <c r="D218" s="226" t="s">
        <v>436</v>
      </c>
      <c r="E218" s="204" t="s">
        <v>437</v>
      </c>
      <c r="F218" s="204" t="s">
        <v>369</v>
      </c>
      <c r="G218" s="204" t="s">
        <v>372</v>
      </c>
      <c r="H218" s="204" t="s">
        <v>215</v>
      </c>
    </row>
    <row r="219" spans="1:38" ht="12">
      <c r="D219" t="s">
        <v>150</v>
      </c>
      <c r="E219" s="16" t="s">
        <v>438</v>
      </c>
      <c r="F219" s="229">
        <f>F214</f>
        <v>688.8</v>
      </c>
      <c r="G219" t="s">
        <v>439</v>
      </c>
      <c r="I219" s="228"/>
    </row>
    <row r="220" spans="1:38" ht="12">
      <c r="D220" t="s">
        <v>440</v>
      </c>
      <c r="E220" s="16" t="s">
        <v>438</v>
      </c>
      <c r="F220" s="229">
        <f>F215</f>
        <v>1378.45</v>
      </c>
      <c r="G220" t="s">
        <v>439</v>
      </c>
      <c r="I220" s="228"/>
    </row>
    <row r="221" spans="1:38" ht="12.75" thickBot="1">
      <c r="D221" t="s">
        <v>441</v>
      </c>
      <c r="E221" s="16" t="s">
        <v>438</v>
      </c>
      <c r="F221" s="229">
        <f>F216</f>
        <v>1921.55</v>
      </c>
      <c r="G221" t="s">
        <v>439</v>
      </c>
      <c r="I221" s="228"/>
    </row>
    <row r="222" spans="1:38" ht="12">
      <c r="D222" s="149"/>
      <c r="E222" s="149"/>
      <c r="F222" s="149"/>
      <c r="G222" s="149"/>
      <c r="H222" s="149"/>
    </row>
    <row r="223" spans="1:38" ht="12"/>
    <row r="224" spans="1:38" ht="48">
      <c r="D224" s="40" t="s">
        <v>436</v>
      </c>
      <c r="E224" s="40" t="str">
        <f>"Cantidad "&amp;Year.selected&amp;" de suscriptores por medio de transmisión"</f>
        <v>Cantidad 2024 de suscriptores por medio de transmisión</v>
      </c>
      <c r="F224" s="40" t="str">
        <f>"Distribución "&amp;Year.selected&amp;" de suscriptores por medio de transmisión"</f>
        <v>Distribución 2024 de suscriptores por medio de transmisión</v>
      </c>
      <c r="G224" s="40" t="s">
        <v>442</v>
      </c>
      <c r="H224" s="40" t="s">
        <v>443</v>
      </c>
      <c r="I224" s="40" t="s">
        <v>444</v>
      </c>
      <c r="J224" s="204" t="s">
        <v>215</v>
      </c>
      <c r="K224" s="230"/>
    </row>
    <row r="225" spans="1:38" ht="12">
      <c r="E225" s="16" t="s">
        <v>158</v>
      </c>
      <c r="F225" s="16" t="s">
        <v>223</v>
      </c>
      <c r="G225" s="231" t="s">
        <v>438</v>
      </c>
      <c r="H225" s="231" t="s">
        <v>438</v>
      </c>
      <c r="I225" s="231" t="s">
        <v>438</v>
      </c>
    </row>
    <row r="226" spans="1:38" ht="12">
      <c r="D226" s="16" t="s">
        <v>391</v>
      </c>
      <c r="E226" s="232">
        <f>SUM('Planes y paquetes'!J654:J687)</f>
        <v>1561211</v>
      </c>
      <c r="F226" s="233">
        <f>E226/(SUM($E$226:$E$228))</f>
        <v>0.1302652571439919</v>
      </c>
      <c r="G226" s="234">
        <f>F226*F219*'Calculos Banda Ancha'!$J$14</f>
        <v>42032910.644487374</v>
      </c>
      <c r="H226" s="234">
        <f>equipo.terminal.parameter*suscriptores2024*F226*F219</f>
        <v>1940559.3768139938</v>
      </c>
      <c r="I226" s="235">
        <f>SUM(G226:H226)</f>
        <v>43973470.021301366</v>
      </c>
      <c r="K226" s="236"/>
      <c r="L226" s="132"/>
    </row>
    <row r="227" spans="1:38" ht="12">
      <c r="D227" s="16" t="s">
        <v>445</v>
      </c>
      <c r="E227" s="232">
        <f>SUM('Planes y paquetes'!L654:L687)</f>
        <v>412162</v>
      </c>
      <c r="F227" s="233">
        <f>E227/(SUM($E$226:$E$228))</f>
        <v>3.439021946103505E-2</v>
      </c>
      <c r="G227" s="234">
        <f>F227*F220*'Calculos Banda Ancha'!$J$14</f>
        <v>22207194.17683332</v>
      </c>
      <c r="H227" s="234">
        <f>equipo.terminal.parameter*suscriptores2024*F227*F220</f>
        <v>1025253.2654013303</v>
      </c>
      <c r="I227" s="235">
        <f>SUM(G227:H227)</f>
        <v>23232447.44223465</v>
      </c>
      <c r="K227" s="236"/>
    </row>
    <row r="228" spans="1:38" ht="12.75" thickBot="1">
      <c r="D228" s="16" t="s">
        <v>446</v>
      </c>
      <c r="E228" s="232">
        <f>SUM(K58:K91)</f>
        <v>10011488</v>
      </c>
      <c r="F228" s="233">
        <f>E228/(SUM($E$226:$E$228))</f>
        <v>0.835344523394973</v>
      </c>
      <c r="G228" s="234">
        <f>F228*F221*'Calculos Banda Ancha'!$J$14</f>
        <v>751943213.82651126</v>
      </c>
      <c r="H228" s="234">
        <f>equipo.terminal.parameter*suscriptores2024*F228*F221</f>
        <v>34715427.317524098</v>
      </c>
      <c r="I228" s="235">
        <f>SUM(G228:H228)</f>
        <v>786658641.14403534</v>
      </c>
      <c r="K228" s="236"/>
      <c r="L228" s="132"/>
    </row>
    <row r="229" spans="1:38" ht="12">
      <c r="D229" s="149"/>
      <c r="E229" s="237"/>
      <c r="F229" s="238">
        <f>F226+F228+F227</f>
        <v>1</v>
      </c>
      <c r="G229" s="149"/>
      <c r="H229" s="149"/>
      <c r="I229" s="149"/>
      <c r="J229" s="149"/>
      <c r="K229" s="239"/>
    </row>
    <row r="230" spans="1:38" ht="12">
      <c r="G230" s="518" t="s">
        <v>678</v>
      </c>
      <c r="H230" s="518"/>
    </row>
    <row r="231" spans="1:38" ht="12">
      <c r="G231" s="394" t="s">
        <v>680</v>
      </c>
      <c r="H231" s="393" t="s">
        <v>679</v>
      </c>
    </row>
    <row r="232" spans="1:38" ht="38.25" customHeight="1">
      <c r="D232" s="40" t="s">
        <v>436</v>
      </c>
      <c r="E232" s="40" t="s">
        <v>447</v>
      </c>
      <c r="F232" s="40" t="s">
        <v>448</v>
      </c>
      <c r="G232" s="40" t="s">
        <v>449</v>
      </c>
      <c r="H232" s="40" t="s">
        <v>215</v>
      </c>
    </row>
    <row r="233" spans="1:38" ht="12">
      <c r="E233" s="231" t="s">
        <v>287</v>
      </c>
      <c r="F233" s="231" t="s">
        <v>223</v>
      </c>
      <c r="G233" s="231" t="s">
        <v>287</v>
      </c>
    </row>
    <row r="234" spans="1:38" ht="12">
      <c r="B234" s="228"/>
      <c r="D234" s="16" t="s">
        <v>150</v>
      </c>
      <c r="E234" s="192">
        <f>(SUMPRODUCT(F97:F108,G196:G207))/(E226)</f>
        <v>315.18896251424263</v>
      </c>
      <c r="F234" s="240">
        <f>'Calculos Banda Ancha'!K97</f>
        <v>1.3491979529700075E-2</v>
      </c>
      <c r="G234" s="241">
        <f>E234*F234</f>
        <v>4.2525230302295656</v>
      </c>
      <c r="H234" s="514">
        <v>4.1505711875144815</v>
      </c>
    </row>
    <row r="235" spans="1:38" ht="12">
      <c r="D235" s="16" t="s">
        <v>440</v>
      </c>
      <c r="E235" s="192">
        <f>(SUMPRODUCT(F97:F108,G196:G207))/(E227)</f>
        <v>1193.890934525316</v>
      </c>
      <c r="F235" s="240">
        <f>'Calculos Banda Ancha'!K98</f>
        <v>2.7000608569563114E-2</v>
      </c>
      <c r="G235" s="241">
        <f>E235*F235</f>
        <v>32.235781797867965</v>
      </c>
      <c r="H235" s="514">
        <v>25.873794893482394</v>
      </c>
    </row>
    <row r="236" spans="1:38" ht="12.75" thickBot="1">
      <c r="D236" s="16" t="s">
        <v>441</v>
      </c>
      <c r="E236" s="192">
        <f>(SUMPRODUCT(G97:G108,G196:G207))/(E228)</f>
        <v>270.2491160267715</v>
      </c>
      <c r="F236" s="240">
        <f>'Calculos Banda Ancha'!K99</f>
        <v>3.7638666180742138E-2</v>
      </c>
      <c r="G236" s="241">
        <f>E236*F236</f>
        <v>10.171816263772303</v>
      </c>
      <c r="H236" s="514">
        <v>9.7719429394008461</v>
      </c>
    </row>
    <row r="237" spans="1:38" ht="12">
      <c r="D237" s="149"/>
      <c r="E237" s="149"/>
      <c r="F237" s="149"/>
      <c r="G237" s="149"/>
      <c r="H237" s="149"/>
    </row>
    <row r="238" spans="1:38" ht="12"/>
    <row r="239" spans="1:38" ht="12">
      <c r="A239" s="94">
        <v>7</v>
      </c>
      <c r="B239" s="94" t="s">
        <v>450</v>
      </c>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row>
    <row r="240" spans="1:38" ht="12"/>
    <row r="241" spans="4:29" ht="12"/>
    <row r="242" spans="4:29" ht="12">
      <c r="D242" s="226" t="s">
        <v>436</v>
      </c>
      <c r="E242" s="204" t="s">
        <v>213</v>
      </c>
      <c r="F242" s="204" t="s">
        <v>369</v>
      </c>
      <c r="G242" s="204" t="s">
        <v>372</v>
      </c>
      <c r="H242" s="204" t="s">
        <v>215</v>
      </c>
    </row>
    <row r="243" spans="4:29" ht="12">
      <c r="D243" t="s">
        <v>391</v>
      </c>
      <c r="E243" s="16" t="s">
        <v>438</v>
      </c>
      <c r="F243" s="242">
        <v>610.96</v>
      </c>
      <c r="G243" t="s">
        <v>451</v>
      </c>
      <c r="K243" s="243"/>
      <c r="L243" s="243"/>
      <c r="M243" s="243"/>
      <c r="N243" s="243"/>
      <c r="O243" s="243"/>
    </row>
    <row r="244" spans="4:29" ht="12.75" thickBot="1">
      <c r="D244" t="s">
        <v>452</v>
      </c>
      <c r="E244" s="16" t="s">
        <v>438</v>
      </c>
      <c r="F244" s="242">
        <v>1948.6425855513301</v>
      </c>
      <c r="G244" t="s">
        <v>451</v>
      </c>
    </row>
    <row r="245" spans="4:29" ht="12">
      <c r="D245" s="149"/>
      <c r="E245" s="149"/>
      <c r="F245" s="149"/>
      <c r="G245" s="149"/>
      <c r="H245" s="149"/>
    </row>
    <row r="246" spans="4:29" ht="48">
      <c r="D246" s="226" t="s">
        <v>436</v>
      </c>
      <c r="E246" s="40" t="str">
        <f>"Cantidad "&amp;Year.selected&amp;" de suscriptores por medio de transmisión"</f>
        <v>Cantidad 2024 de suscriptores por medio de transmisión</v>
      </c>
      <c r="F246" s="40" t="str">
        <f>"Distribución "&amp;Year.selected&amp;" de suscriptores por medio de transmisión"</f>
        <v>Distribución 2024 de suscriptores por medio de transmisión</v>
      </c>
      <c r="G246" s="40" t="s">
        <v>453</v>
      </c>
      <c r="H246" s="204" t="s">
        <v>215</v>
      </c>
      <c r="AB246" s="244"/>
      <c r="AC246" s="244"/>
    </row>
    <row r="247" spans="4:29" ht="12">
      <c r="E247" s="16" t="s">
        <v>158</v>
      </c>
      <c r="F247" s="16" t="s">
        <v>223</v>
      </c>
      <c r="G247" s="231" t="s">
        <v>438</v>
      </c>
      <c r="AB247" s="244"/>
      <c r="AC247" s="244"/>
    </row>
    <row r="248" spans="4:29" ht="12">
      <c r="D248" t="s">
        <v>391</v>
      </c>
      <c r="E248" s="245">
        <f>E226+E227</f>
        <v>1973373</v>
      </c>
      <c r="F248" s="233">
        <f>E248/SUM(E248:E249)</f>
        <v>0.16465547660502697</v>
      </c>
      <c r="G248" s="209">
        <f>F243*F248*('Calculos Banda Ancha'!$J$14)</f>
        <v>47125577.243642636</v>
      </c>
      <c r="AB248" s="244"/>
      <c r="AC248" s="244"/>
    </row>
    <row r="249" spans="4:29" ht="12.75" thickBot="1">
      <c r="D249" t="s">
        <v>452</v>
      </c>
      <c r="E249" s="245">
        <f>E228</f>
        <v>10011488</v>
      </c>
      <c r="F249" s="233">
        <f>1-F248</f>
        <v>0.835344523394973</v>
      </c>
      <c r="G249" s="209">
        <f>F244*F249*'Calculos Banda Ancha'!$J$14</f>
        <v>762545116.37931323</v>
      </c>
      <c r="AB249" s="244"/>
      <c r="AC249" s="244"/>
    </row>
    <row r="250" spans="4:29" ht="12">
      <c r="D250" s="149"/>
      <c r="E250" s="237"/>
      <c r="F250" s="246">
        <f>SUM(F248:F249)</f>
        <v>1</v>
      </c>
      <c r="G250" s="149"/>
      <c r="H250" s="149"/>
      <c r="I250" s="518" t="s">
        <v>678</v>
      </c>
      <c r="J250" s="518"/>
      <c r="AB250" s="244"/>
      <c r="AC250" s="244"/>
    </row>
    <row r="251" spans="4:29" ht="12">
      <c r="I251" s="394" t="s">
        <v>680</v>
      </c>
      <c r="J251" s="393" t="s">
        <v>679</v>
      </c>
    </row>
    <row r="252" spans="4:29" ht="44.25" customHeight="1">
      <c r="D252" s="226" t="s">
        <v>436</v>
      </c>
      <c r="E252" s="40" t="s">
        <v>454</v>
      </c>
      <c r="F252" s="40" t="s">
        <v>455</v>
      </c>
      <c r="G252" s="40" t="s">
        <v>456</v>
      </c>
      <c r="H252" s="40" t="s">
        <v>457</v>
      </c>
      <c r="I252" s="204" t="s">
        <v>458</v>
      </c>
      <c r="J252" s="204" t="s">
        <v>458</v>
      </c>
    </row>
    <row r="253" spans="4:29" ht="12">
      <c r="E253" s="16"/>
      <c r="F253" s="231" t="s">
        <v>223</v>
      </c>
      <c r="G253" s="231" t="s">
        <v>287</v>
      </c>
      <c r="H253" s="231" t="s">
        <v>287</v>
      </c>
      <c r="I253" s="231" t="s">
        <v>287</v>
      </c>
      <c r="J253" s="231" t="s">
        <v>287</v>
      </c>
    </row>
    <row r="254" spans="4:29" ht="12">
      <c r="D254" t="s">
        <v>459</v>
      </c>
      <c r="F254" s="247">
        <f>G248/SUM('Calculos Renta de Linea y Voz'!J50,'Calculos Banda Ancha'!J42*F248)</f>
        <v>1.9192120734151834E-3</v>
      </c>
      <c r="G254" s="209">
        <f>F254*E234</f>
        <v>0.60491446226454015</v>
      </c>
      <c r="H254" s="248">
        <f>F254*P261</f>
        <v>0.64470397971320481</v>
      </c>
      <c r="I254" s="241">
        <f>AVERAGE(G254:H254)</f>
        <v>0.62480922098887248</v>
      </c>
      <c r="J254" s="514">
        <v>0.67508836083495827</v>
      </c>
      <c r="K254" s="228"/>
      <c r="L254" s="228"/>
    </row>
    <row r="255" spans="4:29" ht="12.75" thickBot="1">
      <c r="D255" t="s">
        <v>460</v>
      </c>
      <c r="F255" s="233">
        <f>G249/('Calculos Banda Ancha'!J42*'Cálculos auxiliares'!F249)</f>
        <v>3.6484924441198656E-2</v>
      </c>
      <c r="G255" s="209">
        <f>F255*E236</f>
        <v>9.8600185785374865</v>
      </c>
      <c r="H255" s="248">
        <f>Q261*F255</f>
        <v>12.916615174468163</v>
      </c>
      <c r="I255" s="241">
        <f>AVERAGE(G255:H255)</f>
        <v>11.388316876502824</v>
      </c>
      <c r="J255" s="514">
        <v>10.855258871110887</v>
      </c>
    </row>
    <row r="256" spans="4:29" ht="12">
      <c r="D256" s="149"/>
      <c r="E256" s="250"/>
      <c r="F256" s="224"/>
      <c r="G256" s="149"/>
      <c r="H256" s="149"/>
      <c r="I256" s="149"/>
    </row>
    <row r="257" spans="2:35" ht="12"/>
    <row r="258" spans="2:35" ht="12"/>
    <row r="259" spans="2:35" ht="12">
      <c r="D259" s="251"/>
      <c r="E259" s="251"/>
      <c r="F259" s="251"/>
      <c r="H259" s="252">
        <f>Year.selected</f>
        <v>2024</v>
      </c>
      <c r="I259" s="252"/>
      <c r="J259" s="252"/>
      <c r="K259" s="252"/>
      <c r="L259" s="252"/>
      <c r="M259" s="252"/>
      <c r="N259" s="253"/>
      <c r="P259" s="520">
        <v>2024</v>
      </c>
      <c r="Q259" s="520"/>
      <c r="S259" s="520">
        <v>2023</v>
      </c>
      <c r="T259" s="520"/>
      <c r="V259" s="40">
        <v>2022</v>
      </c>
      <c r="W259" s="40"/>
      <c r="Y259" s="40">
        <v>2021</v>
      </c>
      <c r="Z259" s="40"/>
      <c r="AB259" s="40">
        <v>2020</v>
      </c>
      <c r="AC259" s="40"/>
      <c r="AE259" s="40">
        <v>2019</v>
      </c>
      <c r="AF259" s="40"/>
      <c r="AH259" s="40">
        <v>2018</v>
      </c>
      <c r="AI259" s="40"/>
    </row>
    <row r="260" spans="2:35" ht="24">
      <c r="D260" s="40" t="s">
        <v>461</v>
      </c>
      <c r="E260" s="40" t="s">
        <v>462</v>
      </c>
      <c r="F260" s="254" t="s">
        <v>463</v>
      </c>
      <c r="G260" s="40" t="s">
        <v>401</v>
      </c>
      <c r="H260" s="40" t="s">
        <v>391</v>
      </c>
      <c r="I260" s="40" t="s">
        <v>452</v>
      </c>
      <c r="J260" s="40" t="s">
        <v>391</v>
      </c>
      <c r="K260" s="40" t="s">
        <v>452</v>
      </c>
      <c r="L260" s="40" t="s">
        <v>464</v>
      </c>
      <c r="M260" s="40" t="s">
        <v>465</v>
      </c>
      <c r="P260" s="40" t="s">
        <v>391</v>
      </c>
      <c r="Q260" s="40" t="s">
        <v>392</v>
      </c>
      <c r="S260" s="40" t="s">
        <v>391</v>
      </c>
      <c r="T260" s="40" t="s">
        <v>392</v>
      </c>
      <c r="V260" s="40" t="s">
        <v>391</v>
      </c>
      <c r="W260" s="40" t="s">
        <v>392</v>
      </c>
      <c r="Y260" s="40" t="s">
        <v>391</v>
      </c>
      <c r="Z260" s="40" t="s">
        <v>466</v>
      </c>
      <c r="AB260" s="40" t="s">
        <v>391</v>
      </c>
      <c r="AC260" s="40" t="s">
        <v>466</v>
      </c>
      <c r="AE260" s="40" t="s">
        <v>391</v>
      </c>
      <c r="AF260" s="40" t="s">
        <v>466</v>
      </c>
      <c r="AH260" s="40" t="s">
        <v>391</v>
      </c>
      <c r="AI260" s="40" t="s">
        <v>466</v>
      </c>
    </row>
    <row r="261" spans="2:35" ht="12">
      <c r="B261" s="142" t="str">
        <f>D261&amp;E261</f>
        <v>Paquete 249Residencial</v>
      </c>
      <c r="C261" s="255">
        <v>1</v>
      </c>
      <c r="D261" s="256" t="str">
        <f t="array" ref="D261:D294">vector.broadband.plans.names</f>
        <v>Paquete 249</v>
      </c>
      <c r="E261" s="88" t="str">
        <f>IFERROR(VLOOKUP($D261,'Planes y paquetes'!$C$383:$E$417,2,FALSE),"")</f>
        <v>Residencial</v>
      </c>
      <c r="F261" s="88" t="str">
        <f>IFERROR(VLOOKUP($D261,'Planes y paquetes'!$C$383:$E$417,3,FALSE),"")</f>
        <v>Telefonía fija + Internet fijo</v>
      </c>
      <c r="G261" s="16" t="str">
        <f t="shared" ref="G261:G294" si="38">H134</f>
        <v>15 Mbps</v>
      </c>
      <c r="H261" s="257">
        <f>IFERROR(VLOOKUP($D261,'Planes y paquetes'!$C$654:$L$687,10,FALSE),"")+IFERROR(VLOOKUP($D261,'Planes y paquetes'!$C$654:$L$687,8,FALSE),"")</f>
        <v>43002</v>
      </c>
      <c r="I261" s="257">
        <f>IFERROR(VLOOKUP($D261,'Planes y paquetes'!$C$654:$L$687,9,FALSE),"")</f>
        <v>157080</v>
      </c>
      <c r="J261" s="129">
        <f t="shared" ref="J261:K294" si="39">IFERROR(H261/H$295,"")</f>
        <v>2.1791116023174534E-2</v>
      </c>
      <c r="K261" s="129">
        <f t="shared" si="39"/>
        <v>1.568997535631067E-2</v>
      </c>
      <c r="L261" s="258">
        <f>IFERROR(VLOOKUP($D261,'Planes y paquetes'!$C$384:$BW$417,4,FALSE),"")</f>
        <v>210.24</v>
      </c>
      <c r="M261" s="258"/>
      <c r="P261" s="259">
        <f>SUMPRODUCT(J261:J294,$L$261:$L$294)</f>
        <v>335.92117757261309</v>
      </c>
      <c r="Q261" s="259">
        <f>SUMPRODUCT(K261:K294,$L$261:$L$294)</f>
        <v>354.0260908388442</v>
      </c>
      <c r="S261" s="259">
        <v>356.23038306434512</v>
      </c>
      <c r="T261" s="259">
        <v>394.54190569818644</v>
      </c>
      <c r="V261" s="259">
        <v>360.20803685588464</v>
      </c>
      <c r="W261" s="259">
        <v>406.35409617829657</v>
      </c>
      <c r="Y261" s="260">
        <v>351.10707757000114</v>
      </c>
      <c r="Z261" s="260">
        <v>407.13554822910902</v>
      </c>
      <c r="AB261" s="260">
        <v>354.23468054745609</v>
      </c>
      <c r="AC261" s="260">
        <v>398.42767765013781</v>
      </c>
      <c r="AE261" s="259">
        <v>359.92725525919627</v>
      </c>
      <c r="AF261" s="259">
        <v>421.27195625216774</v>
      </c>
      <c r="AH261" s="259">
        <v>323.67502835645826</v>
      </c>
      <c r="AI261" s="259">
        <v>419.37750009751812</v>
      </c>
    </row>
    <row r="262" spans="2:35" ht="12">
      <c r="B262" s="142" t="str">
        <f t="shared" ref="B262:B295" si="40">D262&amp;E262</f>
        <v>Paquete 289Residencial</v>
      </c>
      <c r="C262" s="255">
        <f>C261+1</f>
        <v>2</v>
      </c>
      <c r="D262" s="256" t="str">
        <v>Paquete 289</v>
      </c>
      <c r="E262" s="88" t="str">
        <f>IFERROR(VLOOKUP($D262,'Planes y paquetes'!$C$383:$E$417,2,FALSE),"")</f>
        <v>Residencial</v>
      </c>
      <c r="F262" s="88" t="str">
        <f>IFERROR(VLOOKUP($D262,'Planes y paquetes'!$C$383:$E$417,3,FALSE),"")</f>
        <v>Telefonía fija + Internet fijo</v>
      </c>
      <c r="G262" s="16" t="str">
        <f t="shared" si="38"/>
        <v>15 Mbps</v>
      </c>
      <c r="H262" s="257">
        <f>IFERROR(VLOOKUP($D262,'Planes y paquetes'!$C$654:$L$687,10,FALSE),"")+IFERROR(VLOOKUP($D262,'Planes y paquetes'!$C$654:$L$687,8,FALSE),"")</f>
        <v>15154</v>
      </c>
      <c r="I262" s="257">
        <f>IFERROR(VLOOKUP($D262,'Planes y paquetes'!$C$654:$L$687,9,FALSE),"")</f>
        <v>44415</v>
      </c>
      <c r="J262" s="129">
        <f t="shared" si="39"/>
        <v>7.679237528840214E-3</v>
      </c>
      <c r="K262" s="129">
        <f t="shared" si="39"/>
        <v>4.43640345970549E-3</v>
      </c>
      <c r="L262" s="258">
        <f>IFERROR(VLOOKUP($D262,'Planes y paquetes'!$C$384:$BW$417,4,FALSE),"")</f>
        <v>244.01</v>
      </c>
      <c r="M262" s="258"/>
      <c r="AB262" s="261"/>
      <c r="AC262" s="261"/>
      <c r="AD262" s="261"/>
      <c r="AE262" s="261"/>
      <c r="AF262" s="261"/>
    </row>
    <row r="263" spans="2:35" ht="12">
      <c r="B263" s="142" t="str">
        <f t="shared" si="40"/>
        <v>Paquete 333Residencial</v>
      </c>
      <c r="C263" s="255">
        <f t="shared" ref="C263:C294" si="41">C262+1</f>
        <v>3</v>
      </c>
      <c r="D263" s="256" t="str">
        <v>Paquete 333</v>
      </c>
      <c r="E263" s="88" t="str">
        <f>IFERROR(VLOOKUP($D263,'Planes y paquetes'!$C$383:$E$417,2,FALSE),"")</f>
        <v>Residencial</v>
      </c>
      <c r="F263" s="88" t="str">
        <f>IFERROR(VLOOKUP($D263,'Planes y paquetes'!$C$383:$E$417,3,FALSE),"")</f>
        <v>Telefonía fija + Internet fijo</v>
      </c>
      <c r="G263" s="16" t="str">
        <f t="shared" si="38"/>
        <v>15 Mbps</v>
      </c>
      <c r="H263" s="257">
        <f>IFERROR(VLOOKUP($D263,'Planes y paquetes'!$C$654:$L$687,10,FALSE),"")+IFERROR(VLOOKUP($D263,'Planes y paquetes'!$C$654:$L$687,8,FALSE),"")</f>
        <v>16514</v>
      </c>
      <c r="I263" s="257">
        <f>IFERROR(VLOOKUP($D263,'Planes y paquetes'!$C$654:$L$687,9,FALSE),"")</f>
        <v>43919</v>
      </c>
      <c r="J263" s="129">
        <f t="shared" si="39"/>
        <v>8.3684128646738347E-3</v>
      </c>
      <c r="K263" s="129">
        <f t="shared" si="39"/>
        <v>4.386860374801428E-3</v>
      </c>
      <c r="L263" s="258">
        <f>IFERROR(VLOOKUP($D263,'Planes y paquetes'!$C$384:$BW$417,4,FALSE),"")</f>
        <v>281.16000000000003</v>
      </c>
      <c r="M263" s="258"/>
    </row>
    <row r="264" spans="2:35" ht="12">
      <c r="B264" s="142" t="str">
        <f t="shared" si="40"/>
        <v>Paquete 389Residencial</v>
      </c>
      <c r="C264" s="255">
        <f t="shared" si="41"/>
        <v>4</v>
      </c>
      <c r="D264" s="256" t="str">
        <v>Paquete 389</v>
      </c>
      <c r="E264" s="88" t="str">
        <f>IFERROR(VLOOKUP($D264,'Planes y paquetes'!$C$383:$E$417,2,FALSE),"")</f>
        <v>Residencial</v>
      </c>
      <c r="F264" s="88" t="str">
        <f>IFERROR(VLOOKUP($D264,'Planes y paquetes'!$C$383:$E$417,3,FALSE),"")</f>
        <v>Telefonía fija + Internet fijo</v>
      </c>
      <c r="G264" s="16" t="str">
        <f t="shared" si="38"/>
        <v>60 Mbps</v>
      </c>
      <c r="H264" s="257">
        <f>IFERROR(VLOOKUP($D264,'Planes y paquetes'!$C$654:$L$687,10,FALSE),"")+IFERROR(VLOOKUP($D264,'Planes y paquetes'!$C$654:$L$687,8,FALSE),"")</f>
        <v>1205238</v>
      </c>
      <c r="I264" s="257">
        <f>IFERROR(VLOOKUP($D264,'Planes y paquetes'!$C$654:$L$687,9,FALSE),"")</f>
        <v>5012893</v>
      </c>
      <c r="J264" s="129">
        <f t="shared" si="39"/>
        <v>0.61075022309517768</v>
      </c>
      <c r="K264" s="129">
        <f t="shared" si="39"/>
        <v>0.50071407966528048</v>
      </c>
      <c r="L264" s="258">
        <f>IFERROR(VLOOKUP($D264,'Planes y paquetes'!$C$384:$BW$417,4,FALSE),"")</f>
        <v>328.44</v>
      </c>
      <c r="M264" s="258"/>
    </row>
    <row r="265" spans="2:35" ht="12">
      <c r="B265" s="142" t="str">
        <f t="shared" si="40"/>
        <v>Paquete 435Residencial</v>
      </c>
      <c r="C265" s="255">
        <f t="shared" si="41"/>
        <v>5</v>
      </c>
      <c r="D265" s="256" t="str">
        <v>Paquete 435</v>
      </c>
      <c r="E265" s="88" t="str">
        <f>IFERROR(VLOOKUP($D265,'Planes y paquetes'!$C$383:$E$417,2,FALSE),"")</f>
        <v>Residencial</v>
      </c>
      <c r="F265" s="88" t="str">
        <f>IFERROR(VLOOKUP($D265,'Planes y paquetes'!$C$383:$E$417,3,FALSE),"")</f>
        <v>Telefonía fija + Internet fijo</v>
      </c>
      <c r="G265" s="16" t="str">
        <f t="shared" si="38"/>
        <v>80 Mbps</v>
      </c>
      <c r="H265" s="257">
        <f>IFERROR(VLOOKUP($D265,'Planes y paquetes'!$C$654:$L$687,10,FALSE),"")+IFERROR(VLOOKUP($D265,'Planes y paquetes'!$C$654:$L$687,8,FALSE),"")</f>
        <v>19037</v>
      </c>
      <c r="I265" s="257">
        <f>IFERROR(VLOOKUP($D265,'Planes y paquetes'!$C$654:$L$687,9,FALSE),"")</f>
        <v>311930</v>
      </c>
      <c r="J265" s="129">
        <f t="shared" si="39"/>
        <v>9.6469344619592948E-3</v>
      </c>
      <c r="K265" s="129">
        <f t="shared" si="39"/>
        <v>3.1157206601056708E-2</v>
      </c>
      <c r="L265" s="258">
        <f>IFERROR(VLOOKUP($D265,'Planes y paquetes'!$C$384:$BW$417,4,FALSE),"")</f>
        <v>367.29</v>
      </c>
      <c r="M265" s="258"/>
    </row>
    <row r="266" spans="2:35" ht="12">
      <c r="B266" s="142" t="str">
        <f t="shared" si="40"/>
        <v>Paquete 499Residencial</v>
      </c>
      <c r="C266" s="255">
        <f t="shared" si="41"/>
        <v>6</v>
      </c>
      <c r="D266" s="256" t="str">
        <v>Paquete 499</v>
      </c>
      <c r="E266" s="88" t="str">
        <f>IFERROR(VLOOKUP($D266,'Planes y paquetes'!$C$383:$E$417,2,FALSE),"")</f>
        <v>Residencial</v>
      </c>
      <c r="F266" s="88" t="str">
        <f>IFERROR(VLOOKUP($D266,'Planes y paquetes'!$C$383:$E$417,3,FALSE),"")</f>
        <v>Telefonía fija + Internet fijo</v>
      </c>
      <c r="G266" s="16" t="str">
        <f t="shared" si="38"/>
        <v>100 Mbps</v>
      </c>
      <c r="H266" s="257">
        <f>IFERROR(VLOOKUP($D266,'Planes y paquetes'!$C$654:$L$687,10,FALSE),"")+IFERROR(VLOOKUP($D266,'Planes y paquetes'!$C$654:$L$687,8,FALSE),"")</f>
        <v>8279</v>
      </c>
      <c r="I266" s="257">
        <f>IFERROR(VLOOKUP($D266,'Planes y paquetes'!$C$654:$L$687,9,FALSE),"")</f>
        <v>289896</v>
      </c>
      <c r="J266" s="129">
        <f t="shared" si="39"/>
        <v>4.1953548568871672E-3</v>
      </c>
      <c r="K266" s="129">
        <f t="shared" si="39"/>
        <v>2.8956334962395202E-2</v>
      </c>
      <c r="L266" s="258">
        <f>IFERROR(VLOOKUP($D266,'Planes y paquetes'!$C$384:$BW$417,4,FALSE),"")</f>
        <v>421.32</v>
      </c>
      <c r="M266" s="258"/>
    </row>
    <row r="267" spans="2:35" ht="12">
      <c r="B267" s="142" t="str">
        <f t="shared" si="40"/>
        <v>Paquete 599Residencial</v>
      </c>
      <c r="C267" s="255">
        <f t="shared" si="41"/>
        <v>7</v>
      </c>
      <c r="D267" s="256" t="str">
        <v>Paquete 599</v>
      </c>
      <c r="E267" s="88" t="str">
        <f>IFERROR(VLOOKUP($D267,'Planes y paquetes'!$C$383:$E$417,2,FALSE),"")</f>
        <v>Residencial</v>
      </c>
      <c r="F267" s="88" t="str">
        <f>IFERROR(VLOOKUP($D267,'Planes y paquetes'!$C$383:$E$417,3,FALSE),"")</f>
        <v>Telefonía fija + Internet fijo</v>
      </c>
      <c r="G267" s="16" t="str">
        <f t="shared" si="38"/>
        <v>200 Mbps</v>
      </c>
      <c r="H267" s="257">
        <f>IFERROR(VLOOKUP($D267,'Planes y paquetes'!$C$654:$L$687,10,FALSE),"")+IFERROR(VLOOKUP($D267,'Planes y paquetes'!$C$654:$L$687,8,FALSE),"")</f>
        <v>38762</v>
      </c>
      <c r="I267" s="257">
        <f>IFERROR(VLOOKUP($D267,'Planes y paquetes'!$C$654:$L$687,9,FALSE),"")</f>
        <v>278815</v>
      </c>
      <c r="J267" s="129">
        <f t="shared" si="39"/>
        <v>1.9642510564399127E-2</v>
      </c>
      <c r="K267" s="129">
        <f t="shared" si="39"/>
        <v>2.7849506486947794E-2</v>
      </c>
      <c r="L267" s="258">
        <f>IFERROR(VLOOKUP($D267,'Planes y paquetes'!$C$384:$BW$417,4,FALSE),"")</f>
        <v>505.76</v>
      </c>
      <c r="M267" s="258"/>
    </row>
    <row r="268" spans="2:35" ht="12">
      <c r="B268" s="142" t="str">
        <f t="shared" si="40"/>
        <v>Paquete 649Residencial</v>
      </c>
      <c r="C268" s="255">
        <f t="shared" si="41"/>
        <v>8</v>
      </c>
      <c r="D268" s="256" t="str">
        <v>Paquete 649</v>
      </c>
      <c r="E268" s="88" t="str">
        <f>IFERROR(VLOOKUP($D268,'Planes y paquetes'!$C$383:$E$417,2,FALSE),"")</f>
        <v>Residencial</v>
      </c>
      <c r="F268" s="88" t="str">
        <f>IFERROR(VLOOKUP($D268,'Planes y paquetes'!$C$383:$E$417,3,FALSE),"")</f>
        <v>Telefonía fija + Internet fijo</v>
      </c>
      <c r="G268" s="16" t="str">
        <f t="shared" si="38"/>
        <v>300 Mbps</v>
      </c>
      <c r="H268" s="257">
        <f>IFERROR(VLOOKUP($D268,'Planes y paquetes'!$C$654:$L$687,10,FALSE),"")+IFERROR(VLOOKUP($D268,'Planes y paquetes'!$C$654:$L$687,8,FALSE),"")</f>
        <v>46</v>
      </c>
      <c r="I268" s="257">
        <f>IFERROR(VLOOKUP($D268,'Planes y paquetes'!$C$654:$L$687,9,FALSE),"")</f>
        <v>170664</v>
      </c>
      <c r="J268" s="129">
        <f t="shared" si="39"/>
        <v>2.3310342241431296E-5</v>
      </c>
      <c r="K268" s="129">
        <f t="shared" si="39"/>
        <v>1.7046816617070311E-2</v>
      </c>
      <c r="L268" s="258">
        <f>IFERROR(VLOOKUP($D268,'Planes y paquetes'!$C$384:$BW$417,4,FALSE),"")</f>
        <v>547.98</v>
      </c>
      <c r="M268" s="258"/>
    </row>
    <row r="269" spans="2:35" ht="12">
      <c r="B269" s="142" t="str">
        <f t="shared" si="40"/>
        <v>Paquete Infinitum 999Residencial</v>
      </c>
      <c r="C269" s="255">
        <f t="shared" si="41"/>
        <v>9</v>
      </c>
      <c r="D269" s="256" t="str">
        <v>Paquete Infinitum 999</v>
      </c>
      <c r="E269" s="88" t="str">
        <f>IFERROR(VLOOKUP($D269,'Planes y paquetes'!$C$383:$E$417,2,FALSE),"")</f>
        <v>Residencial</v>
      </c>
      <c r="F269" s="88" t="str">
        <f>IFERROR(VLOOKUP($D269,'Planes y paquetes'!$C$383:$E$417,3,FALSE),"")</f>
        <v>Telefonía fija + Internet fijo</v>
      </c>
      <c r="G269" s="16" t="str">
        <f t="shared" si="38"/>
        <v>750 Mbps</v>
      </c>
      <c r="H269" s="257">
        <f>IFERROR(VLOOKUP($D269,'Planes y paquetes'!$C$654:$L$687,10,FALSE),"")+IFERROR(VLOOKUP($D269,'Planes y paquetes'!$C$654:$L$687,8,FALSE),"")</f>
        <v>252</v>
      </c>
      <c r="I269" s="257">
        <f>IFERROR(VLOOKUP($D269,'Planes y paquetes'!$C$654:$L$687,9,FALSE),"")</f>
        <v>46896</v>
      </c>
      <c r="J269" s="129">
        <f t="shared" si="39"/>
        <v>1.2770013575740623E-4</v>
      </c>
      <c r="K269" s="129">
        <f t="shared" si="39"/>
        <v>4.6842187694776244E-3</v>
      </c>
      <c r="L269" s="258">
        <f>IFERROR(VLOOKUP($D269,'Planes y paquetes'!$C$384:$BW$417,4,FALSE),"")</f>
        <v>843.5</v>
      </c>
      <c r="M269" s="258"/>
    </row>
    <row r="270" spans="2:35" ht="12">
      <c r="B270" s="142" t="str">
        <f t="shared" si="40"/>
        <v>Paquete 1399Residencial</v>
      </c>
      <c r="C270" s="255">
        <f t="shared" si="41"/>
        <v>10</v>
      </c>
      <c r="D270" s="256" t="str">
        <v>Paquete 1399</v>
      </c>
      <c r="E270" s="88" t="str">
        <f>IFERROR(VLOOKUP($D270,'Planes y paquetes'!$C$383:$E$417,2,FALSE),"")</f>
        <v>Residencial</v>
      </c>
      <c r="F270" s="88" t="str">
        <f>IFERROR(VLOOKUP($D270,'Planes y paquetes'!$C$383:$E$417,3,FALSE),"")</f>
        <v>Telefonía fija + Internet fijo</v>
      </c>
      <c r="G270" s="16" t="str">
        <f t="shared" si="38"/>
        <v>1000 Mbps</v>
      </c>
      <c r="H270" s="257">
        <f>IFERROR(VLOOKUP($D270,'Planes y paquetes'!$C$654:$L$687,10,FALSE),"")+IFERROR(VLOOKUP($D270,'Planes y paquetes'!$C$654:$L$687,8,FALSE),"")</f>
        <v>525</v>
      </c>
      <c r="I270" s="257">
        <f>IFERROR(VLOOKUP($D270,'Planes y paquetes'!$C$654:$L$687,9,FALSE),"")</f>
        <v>11581</v>
      </c>
      <c r="J270" s="129">
        <f t="shared" si="39"/>
        <v>2.6604194949459629E-4</v>
      </c>
      <c r="K270" s="129">
        <f t="shared" si="39"/>
        <v>1.1567711013587591E-3</v>
      </c>
      <c r="L270" s="258">
        <f>IFERROR(VLOOKUP($D270,'Planes y paquetes'!$C$384:$BW$417,4,FALSE),"")</f>
        <v>1181.23</v>
      </c>
      <c r="M270" s="258"/>
    </row>
    <row r="271" spans="2:35" ht="12">
      <c r="B271" s="142" t="str">
        <f t="shared" si="40"/>
        <v>Infinitum 279Residencial</v>
      </c>
      <c r="C271" s="255">
        <f t="shared" si="41"/>
        <v>11</v>
      </c>
      <c r="D271" s="256" t="str">
        <v>Infinitum 279</v>
      </c>
      <c r="E271" s="88" t="str">
        <f>IFERROR(VLOOKUP($D271,'Planes y paquetes'!$C$383:$E$417,2,FALSE),"")</f>
        <v>Residencial</v>
      </c>
      <c r="F271" s="88" t="str">
        <f>IFERROR(VLOOKUP($D271,'Planes y paquetes'!$C$383:$E$417,3,FALSE),"")</f>
        <v>Internet fijo</v>
      </c>
      <c r="G271" s="16" t="str">
        <f t="shared" si="38"/>
        <v>30 Mbps</v>
      </c>
      <c r="H271" s="257">
        <f>IFERROR(VLOOKUP($D271,'Planes y paquetes'!$C$654:$L$687,10,FALSE),"")+IFERROR(VLOOKUP($D271,'Planes y paquetes'!$C$654:$L$687,8,FALSE),"")</f>
        <v>6011</v>
      </c>
      <c r="I271" s="257">
        <f>IFERROR(VLOOKUP($D271,'Planes y paquetes'!$C$654:$L$687,9,FALSE),"")</f>
        <v>20985</v>
      </c>
      <c r="J271" s="129">
        <f t="shared" si="39"/>
        <v>3.0460536350705113E-3</v>
      </c>
      <c r="K271" s="129">
        <f t="shared" si="39"/>
        <v>2.0960920094994871E-3</v>
      </c>
      <c r="L271" s="258">
        <f>IFERROR(VLOOKUP($D271,'Planes y paquetes'!$C$384:$BW$417,4,FALSE),"")</f>
        <v>240.52</v>
      </c>
      <c r="M271" s="258"/>
    </row>
    <row r="272" spans="2:35" ht="12">
      <c r="B272" s="142" t="str">
        <f t="shared" si="40"/>
        <v>Infinitum 299 RResidencial</v>
      </c>
      <c r="C272" s="255">
        <f t="shared" si="41"/>
        <v>12</v>
      </c>
      <c r="D272" s="256" t="str">
        <v>Infinitum 299 R</v>
      </c>
      <c r="E272" s="88" t="str">
        <f>IFERROR(VLOOKUP($D272,'Planes y paquetes'!$C$383:$E$417,2,FALSE),"")</f>
        <v>Residencial</v>
      </c>
      <c r="F272" s="88" t="str">
        <f>IFERROR(VLOOKUP($D272,'Planes y paquetes'!$C$383:$E$417,3,FALSE),"")</f>
        <v>Internet fijo</v>
      </c>
      <c r="G272" s="16" t="str">
        <f t="shared" si="38"/>
        <v>40 Mbps</v>
      </c>
      <c r="H272" s="257">
        <f>IFERROR(VLOOKUP($D272,'Planes y paquetes'!$C$654:$L$687,10,FALSE),"")+IFERROR(VLOOKUP($D272,'Planes y paquetes'!$C$654:$L$687,8,FALSE),"")</f>
        <v>58</v>
      </c>
      <c r="I272" s="257">
        <f>IFERROR(VLOOKUP($D272,'Planes y paquetes'!$C$654:$L$687,9,FALSE),"")</f>
        <v>250</v>
      </c>
      <c r="J272" s="129">
        <f t="shared" si="39"/>
        <v>2.9391301087022068E-5</v>
      </c>
      <c r="K272" s="129">
        <f t="shared" si="39"/>
        <v>2.4971312955676519E-5</v>
      </c>
      <c r="L272" s="258">
        <f>IFERROR(VLOOKUP($D272,'Planes y paquetes'!$C$384:$BW$417,4,FALSE),"")</f>
        <v>257.76</v>
      </c>
      <c r="M272" s="258"/>
    </row>
    <row r="273" spans="2:13" ht="12">
      <c r="B273" s="142" t="str">
        <f t="shared" si="40"/>
        <v>Infinitum 349Residencial</v>
      </c>
      <c r="C273" s="255">
        <f t="shared" si="41"/>
        <v>13</v>
      </c>
      <c r="D273" s="256" t="str">
        <v>Infinitum 349</v>
      </c>
      <c r="E273" s="88" t="str">
        <f>IFERROR(VLOOKUP($D273,'Planes y paquetes'!$C$383:$E$417,2,FALSE),"")</f>
        <v>Residencial</v>
      </c>
      <c r="F273" s="88" t="str">
        <f>IFERROR(VLOOKUP($D273,'Planes y paquetes'!$C$383:$E$417,3,FALSE),"")</f>
        <v>Internet fijo</v>
      </c>
      <c r="G273" s="16" t="str">
        <f t="shared" si="38"/>
        <v>60 Mbps</v>
      </c>
      <c r="H273" s="257">
        <f>IFERROR(VLOOKUP($D273,'Planes y paquetes'!$C$654:$L$687,10,FALSE),"")+IFERROR(VLOOKUP($D273,'Planes y paquetes'!$C$654:$L$687,8,FALSE),"")</f>
        <v>342126</v>
      </c>
      <c r="I273" s="257">
        <f>IFERROR(VLOOKUP($D273,'Planes y paquetes'!$C$654:$L$687,9,FALSE),"")</f>
        <v>1819605</v>
      </c>
      <c r="J273" s="129">
        <f t="shared" si="39"/>
        <v>0.17337117716721573</v>
      </c>
      <c r="K273" s="129">
        <f t="shared" si="39"/>
        <v>0.18175170364285509</v>
      </c>
      <c r="L273" s="258">
        <f>IFERROR(VLOOKUP($D273,'Planes y paquetes'!$C$384:$BW$417,4,FALSE),"")</f>
        <v>300.86</v>
      </c>
      <c r="M273" s="258"/>
    </row>
    <row r="274" spans="2:13" ht="12">
      <c r="B274" s="142" t="str">
        <f t="shared" si="40"/>
        <v>Infinitum 399Residencial</v>
      </c>
      <c r="C274" s="255">
        <f t="shared" si="41"/>
        <v>14</v>
      </c>
      <c r="D274" s="256" t="str">
        <v>Infinitum 399</v>
      </c>
      <c r="E274" s="88" t="str">
        <f>IFERROR(VLOOKUP($D274,'Planes y paquetes'!$C$383:$E$417,2,FALSE),"")</f>
        <v>Residencial</v>
      </c>
      <c r="F274" s="88" t="str">
        <f>IFERROR(VLOOKUP($D274,'Planes y paquetes'!$C$383:$E$417,3,FALSE),"")</f>
        <v>Internet fijo</v>
      </c>
      <c r="G274" s="16" t="str">
        <f t="shared" si="38"/>
        <v>80 Mbps</v>
      </c>
      <c r="H274" s="257">
        <f>IFERROR(VLOOKUP($D274,'Planes y paquetes'!$C$654:$L$687,10,FALSE),"")+IFERROR(VLOOKUP($D274,'Planes y paquetes'!$C$654:$L$687,8,FALSE),"")</f>
        <v>11242</v>
      </c>
      <c r="I274" s="257">
        <f>IFERROR(VLOOKUP($D274,'Planes y paquetes'!$C$654:$L$687,9,FALSE),"")</f>
        <v>166558</v>
      </c>
      <c r="J274" s="129">
        <f t="shared" si="39"/>
        <v>5.6968449451776223E-3</v>
      </c>
      <c r="K274" s="129">
        <f t="shared" si="39"/>
        <v>1.663668777308628E-2</v>
      </c>
      <c r="L274" s="258">
        <f>IFERROR(VLOOKUP($D274,'Planes y paquetes'!$C$384:$BW$417,4,FALSE),"")</f>
        <v>343.97</v>
      </c>
      <c r="M274" s="258"/>
    </row>
    <row r="275" spans="2:13" ht="12">
      <c r="B275" s="142" t="str">
        <f t="shared" si="40"/>
        <v>Infinitum 449Residencial</v>
      </c>
      <c r="C275" s="255">
        <f t="shared" si="41"/>
        <v>15</v>
      </c>
      <c r="D275" s="256" t="str">
        <v>Infinitum 449</v>
      </c>
      <c r="E275" s="88" t="str">
        <f>IFERROR(VLOOKUP($D275,'Planes y paquetes'!$C$383:$E$417,2,FALSE),"")</f>
        <v>Residencial</v>
      </c>
      <c r="F275" s="88" t="str">
        <f>IFERROR(VLOOKUP($D275,'Planes y paquetes'!$C$383:$E$417,3,FALSE),"")</f>
        <v>Internet fijo</v>
      </c>
      <c r="G275" s="16" t="str">
        <f t="shared" si="38"/>
        <v>100 Mbps</v>
      </c>
      <c r="H275" s="257">
        <f>IFERROR(VLOOKUP($D275,'Planes y paquetes'!$C$654:$L$687,10,FALSE),"")+IFERROR(VLOOKUP($D275,'Planes y paquetes'!$C$654:$L$687,8,FALSE),"")</f>
        <v>173</v>
      </c>
      <c r="I275" s="257">
        <f>IFERROR(VLOOKUP($D275,'Planes y paquetes'!$C$654:$L$687,9,FALSE),"")</f>
        <v>121443</v>
      </c>
      <c r="J275" s="129">
        <f t="shared" si="39"/>
        <v>8.7667156690600313E-5</v>
      </c>
      <c r="K275" s="129">
        <f t="shared" si="39"/>
        <v>1.2130364637104894E-2</v>
      </c>
      <c r="L275" s="258">
        <f>IFERROR(VLOOKUP($D275,'Planes y paquetes'!$C$384:$BW$417,4,FALSE),"")</f>
        <v>387.07</v>
      </c>
      <c r="M275" s="258"/>
    </row>
    <row r="276" spans="2:13" ht="12">
      <c r="B276" s="142" t="str">
        <f t="shared" si="40"/>
        <v>Infinitum 549Residencial</v>
      </c>
      <c r="C276" s="255">
        <f t="shared" si="41"/>
        <v>16</v>
      </c>
      <c r="D276" s="256" t="str">
        <v>Infinitum 549</v>
      </c>
      <c r="E276" s="88" t="str">
        <f>IFERROR(VLOOKUP($D276,'Planes y paquetes'!$C$383:$E$417,2,FALSE),"")</f>
        <v>Residencial</v>
      </c>
      <c r="F276" s="88" t="str">
        <f>IFERROR(VLOOKUP($D276,'Planes y paquetes'!$C$383:$E$417,3,FALSE),"")</f>
        <v>Internet fijo</v>
      </c>
      <c r="G276" s="16" t="str">
        <f t="shared" si="38"/>
        <v>300 Mbps</v>
      </c>
      <c r="H276" s="257">
        <f>IFERROR(VLOOKUP($D276,'Planes y paquetes'!$C$654:$L$687,10,FALSE),"")+IFERROR(VLOOKUP($D276,'Planes y paquetes'!$C$654:$L$687,8,FALSE),"")</f>
        <v>506</v>
      </c>
      <c r="I276" s="257">
        <f>IFERROR(VLOOKUP($D276,'Planes y paquetes'!$C$654:$L$687,9,FALSE),"")</f>
        <v>192551</v>
      </c>
      <c r="J276" s="129">
        <f t="shared" si="39"/>
        <v>2.5641376465574425E-4</v>
      </c>
      <c r="K276" s="129">
        <f t="shared" si="39"/>
        <v>1.9233005123713877E-2</v>
      </c>
      <c r="L276" s="258">
        <f>IFERROR(VLOOKUP($D276,'Planes y paquetes'!$C$384:$BW$417,4,FALSE),"")</f>
        <v>473.28</v>
      </c>
      <c r="M276" s="258"/>
    </row>
    <row r="277" spans="2:13" ht="12">
      <c r="B277" s="142" t="str">
        <f t="shared" si="40"/>
        <v>Infinitum 899Residencial</v>
      </c>
      <c r="C277" s="255">
        <f t="shared" si="41"/>
        <v>17</v>
      </c>
      <c r="D277" s="256" t="str">
        <v>Infinitum 899</v>
      </c>
      <c r="E277" s="88" t="str">
        <f>IFERROR(VLOOKUP($D277,'Planes y paquetes'!$C$383:$E$417,2,FALSE),"")</f>
        <v>Residencial</v>
      </c>
      <c r="F277" s="88" t="str">
        <f>IFERROR(VLOOKUP($D277,'Planes y paquetes'!$C$383:$E$417,3,FALSE),"")</f>
        <v>Internet fijo</v>
      </c>
      <c r="G277" s="16" t="str">
        <f t="shared" si="38"/>
        <v>750 Mbps</v>
      </c>
      <c r="H277" s="257">
        <f>IFERROR(VLOOKUP($D277,'Planes y paquetes'!$C$654:$L$687,10,FALSE),"")+IFERROR(VLOOKUP($D277,'Planes y paquetes'!$C$654:$L$687,8,FALSE),"")</f>
        <v>13</v>
      </c>
      <c r="I277" s="257">
        <f>IFERROR(VLOOKUP($D277,'Planes y paquetes'!$C$654:$L$687,9,FALSE),"")</f>
        <v>21478</v>
      </c>
      <c r="J277" s="129">
        <f t="shared" si="39"/>
        <v>6.5877054160566705E-6</v>
      </c>
      <c r="K277" s="129">
        <f t="shared" si="39"/>
        <v>2.1453354386480809E-3</v>
      </c>
      <c r="L277" s="258">
        <f>IFERROR(VLOOKUP($D277,'Planes y paquetes'!$C$384:$BW$417,4,FALSE),"")</f>
        <v>775</v>
      </c>
      <c r="M277" s="258"/>
    </row>
    <row r="278" spans="2:13" ht="12">
      <c r="B278" s="142" t="str">
        <f t="shared" si="40"/>
        <v>Paquete Conectes NegocioNo Residencial</v>
      </c>
      <c r="C278" s="255">
        <f t="shared" si="41"/>
        <v>18</v>
      </c>
      <c r="D278" s="256" t="str">
        <v>Paquete Conectes Negocio</v>
      </c>
      <c r="E278" s="88" t="str">
        <f>IFERROR(VLOOKUP($D278,'Planes y paquetes'!$C$383:$E$417,2,FALSE),"")</f>
        <v>No Residencial</v>
      </c>
      <c r="F278" s="88" t="str">
        <f>IFERROR(VLOOKUP($D278,'Planes y paquetes'!$C$383:$E$417,3,FALSE),"")</f>
        <v>Telefonía fija + Internet fijo</v>
      </c>
      <c r="G278" s="16" t="str">
        <f t="shared" si="38"/>
        <v>60 Mbps</v>
      </c>
      <c r="H278" s="257">
        <f>IFERROR(VLOOKUP($D278,'Planes y paquetes'!$C$654:$L$687,10,FALSE),"")+IFERROR(VLOOKUP($D278,'Planes y paquetes'!$C$654:$L$687,8,FALSE),"")</f>
        <v>121488</v>
      </c>
      <c r="I278" s="257">
        <f>IFERROR(VLOOKUP($D278,'Planes y paquetes'!$C$654:$L$687,9,FALSE),"")</f>
        <v>601402</v>
      </c>
      <c r="J278" s="129">
        <f t="shared" si="39"/>
        <v>6.1563627352760983E-2</v>
      </c>
      <c r="K278" s="129">
        <f t="shared" si="39"/>
        <v>6.0071190216679081E-2</v>
      </c>
      <c r="L278" s="258">
        <f>IFERROR(VLOOKUP($D278,'Planes y paquetes'!$C$384:$BW$417,4,FALSE),"")</f>
        <v>336.9</v>
      </c>
      <c r="M278" s="258"/>
    </row>
    <row r="279" spans="2:13" ht="12">
      <c r="B279" s="142" t="str">
        <f t="shared" si="40"/>
        <v>Paquete Mi NegocioNo Residencial</v>
      </c>
      <c r="C279" s="255">
        <f t="shared" si="41"/>
        <v>19</v>
      </c>
      <c r="D279" s="256" t="str">
        <v>Paquete Mi Negocio</v>
      </c>
      <c r="E279" s="88" t="str">
        <f>IFERROR(VLOOKUP($D279,'Planes y paquetes'!$C$383:$E$417,2,FALSE),"")</f>
        <v>No Residencial</v>
      </c>
      <c r="F279" s="88" t="str">
        <f>IFERROR(VLOOKUP($D279,'Planes y paquetes'!$C$383:$E$417,3,FALSE),"")</f>
        <v>Telefonía fija + Internet fijo</v>
      </c>
      <c r="G279" s="16" t="str">
        <f t="shared" si="38"/>
        <v>100 Mbps</v>
      </c>
      <c r="H279" s="257">
        <f>IFERROR(VLOOKUP($D279,'Planes y paquetes'!$C$654:$L$687,10,FALSE),"")+IFERROR(VLOOKUP($D279,'Planes y paquetes'!$C$654:$L$687,8,FALSE),"")</f>
        <v>63050</v>
      </c>
      <c r="I279" s="257">
        <f>IFERROR(VLOOKUP($D279,'Planes y paquetes'!$C$654:$L$687,9,FALSE),"")</f>
        <v>302842</v>
      </c>
      <c r="J279" s="129">
        <f t="shared" si="39"/>
        <v>3.1950371267874852E-2</v>
      </c>
      <c r="K279" s="129">
        <f t="shared" si="39"/>
        <v>3.0249449432491953E-2</v>
      </c>
      <c r="L279" s="258">
        <f>IFERROR(VLOOKUP($D279,'Planes y paquetes'!$C$384:$BW$417,4,FALSE),"")</f>
        <v>463.55</v>
      </c>
      <c r="M279" s="258"/>
    </row>
    <row r="280" spans="2:13" ht="12">
      <c r="B280" s="142" t="str">
        <f t="shared" si="40"/>
        <v>Paquete Negocio 649No Residencial</v>
      </c>
      <c r="C280" s="255">
        <f t="shared" si="41"/>
        <v>20</v>
      </c>
      <c r="D280" s="256" t="str">
        <v>Paquete Negocio 649</v>
      </c>
      <c r="E280" s="88" t="str">
        <f>IFERROR(VLOOKUP($D280,'Planes y paquetes'!$C$383:$E$417,2,FALSE),"")</f>
        <v>No Residencial</v>
      </c>
      <c r="F280" s="88" t="str">
        <f>IFERROR(VLOOKUP($D280,'Planes y paquetes'!$C$383:$E$417,3,FALSE),"")</f>
        <v>Telefonía fija + Internet fijo</v>
      </c>
      <c r="G280" s="16" t="str">
        <f t="shared" si="38"/>
        <v>200 Mbps</v>
      </c>
      <c r="H280" s="257">
        <f>IFERROR(VLOOKUP($D280,'Planes y paquetes'!$C$654:$L$687,10,FALSE),"")+IFERROR(VLOOKUP($D280,'Planes y paquetes'!$C$654:$L$687,8,FALSE),"")</f>
        <v>175</v>
      </c>
      <c r="I280" s="257">
        <f>IFERROR(VLOOKUP($D280,'Planes y paquetes'!$C$654:$L$687,9,FALSE),"")</f>
        <v>8215</v>
      </c>
      <c r="J280" s="129">
        <f t="shared" si="39"/>
        <v>8.8680649831532102E-5</v>
      </c>
      <c r="K280" s="129">
        <f t="shared" si="39"/>
        <v>8.205573437235304E-4</v>
      </c>
      <c r="L280" s="258">
        <f>IFERROR(VLOOKUP($D280,'Planes y paquetes'!$C$384:$BW$417,4,FALSE),"")</f>
        <v>547.98</v>
      </c>
      <c r="M280" s="258"/>
    </row>
    <row r="281" spans="2:13" ht="12">
      <c r="B281" s="142" t="str">
        <f t="shared" si="40"/>
        <v>Paquete SupernegocioNo Residencial</v>
      </c>
      <c r="C281" s="255">
        <f t="shared" si="41"/>
        <v>21</v>
      </c>
      <c r="D281" s="256" t="str">
        <v>Paquete Supernegocio</v>
      </c>
      <c r="E281" s="88" t="str">
        <f>IFERROR(VLOOKUP($D281,'Planes y paquetes'!$C$383:$E$417,2,FALSE),"")</f>
        <v>No Residencial</v>
      </c>
      <c r="F281" s="88" t="str">
        <f>IFERROR(VLOOKUP($D281,'Planes y paquetes'!$C$383:$E$417,3,FALSE),"")</f>
        <v>Telefonía fija + Internet fijo</v>
      </c>
      <c r="G281" s="16" t="str">
        <f t="shared" si="38"/>
        <v>300 Mbps</v>
      </c>
      <c r="H281" s="257">
        <f>IFERROR(VLOOKUP($D281,'Planes y paquetes'!$C$654:$L$687,10,FALSE),"")+IFERROR(VLOOKUP($D281,'Planes y paquetes'!$C$654:$L$687,8,FALSE),"")</f>
        <v>28112</v>
      </c>
      <c r="I281" s="257">
        <f>IFERROR(VLOOKUP($D281,'Planes y paquetes'!$C$654:$L$687,9,FALSE),"")</f>
        <v>179919</v>
      </c>
      <c r="J281" s="129">
        <f t="shared" si="39"/>
        <v>1.4245659588937316E-2</v>
      </c>
      <c r="K281" s="129">
        <f t="shared" si="39"/>
        <v>1.7971254622689455E-2</v>
      </c>
      <c r="L281" s="258">
        <f>IFERROR(VLOOKUP($D281,'Planes y paquetes'!$C$384:$BW$417,4,FALSE),"")</f>
        <v>674.64</v>
      </c>
      <c r="M281" s="258"/>
    </row>
    <row r="282" spans="2:13" ht="12">
      <c r="B282" s="142" t="str">
        <f t="shared" si="40"/>
        <v>Paquete Negocio 999No Residencial</v>
      </c>
      <c r="C282" s="255">
        <f t="shared" si="41"/>
        <v>22</v>
      </c>
      <c r="D282" s="256" t="str">
        <v>Paquete Negocio 999</v>
      </c>
      <c r="E282" s="88" t="str">
        <f>IFERROR(VLOOKUP($D282,'Planes y paquetes'!$C$383:$E$417,2,FALSE),"")</f>
        <v>No Residencial</v>
      </c>
      <c r="F282" s="88" t="str">
        <f>IFERROR(VLOOKUP($D282,'Planes y paquetes'!$C$383:$E$417,3,FALSE),"")</f>
        <v>Telefonía fija + Internet fijo</v>
      </c>
      <c r="G282" s="16" t="str">
        <f t="shared" si="38"/>
        <v>500 Mbps</v>
      </c>
      <c r="H282" s="257">
        <f>IFERROR(VLOOKUP($D282,'Planes y paquetes'!$C$654:$L$687,10,FALSE),"")+IFERROR(VLOOKUP($D282,'Planes y paquetes'!$C$654:$L$687,8,FALSE),"")</f>
        <v>55</v>
      </c>
      <c r="I282" s="257">
        <f>IFERROR(VLOOKUP($D282,'Planes y paquetes'!$C$654:$L$687,9,FALSE),"")</f>
        <v>3941</v>
      </c>
      <c r="J282" s="129">
        <f t="shared" si="39"/>
        <v>2.7871061375624375E-5</v>
      </c>
      <c r="K282" s="129">
        <f t="shared" si="39"/>
        <v>3.9364777743328464E-4</v>
      </c>
      <c r="L282" s="258">
        <f>IFERROR(VLOOKUP($D282,'Planes y paquetes'!$C$384:$BW$417,4,FALSE),"")</f>
        <v>843.5</v>
      </c>
      <c r="M282" s="258"/>
    </row>
    <row r="283" spans="2:13" ht="12">
      <c r="B283" s="142" t="str">
        <f t="shared" si="40"/>
        <v>Paquete Telmex Negocio Ilimitado 1No Residencial</v>
      </c>
      <c r="C283" s="255">
        <f t="shared" si="41"/>
        <v>23</v>
      </c>
      <c r="D283" s="256" t="str">
        <v>Paquete Telmex Negocio Ilimitado 1</v>
      </c>
      <c r="E283" s="88" t="str">
        <f>IFERROR(VLOOKUP($D283,'Planes y paquetes'!$C$383:$E$417,2,FALSE),"")</f>
        <v>No Residencial</v>
      </c>
      <c r="F283" s="88" t="str">
        <f>IFERROR(VLOOKUP($D283,'Planes y paquetes'!$C$383:$E$417,3,FALSE),"")</f>
        <v>Telefonía fija + Internet fijo</v>
      </c>
      <c r="G283" s="16" t="str">
        <f t="shared" si="38"/>
        <v>750 Mbps</v>
      </c>
      <c r="H283" s="257">
        <f>IFERROR(VLOOKUP($D283,'Planes y paquetes'!$C$654:$L$687,10,FALSE),"")+IFERROR(VLOOKUP($D283,'Planes y paquetes'!$C$654:$L$687,8,FALSE),"")</f>
        <v>13</v>
      </c>
      <c r="I283" s="257">
        <f>IFERROR(VLOOKUP($D283,'Planes y paquetes'!$C$654:$L$687,9,FALSE),"")</f>
        <v>70</v>
      </c>
      <c r="J283" s="129">
        <f t="shared" si="39"/>
        <v>6.5877054160566705E-6</v>
      </c>
      <c r="K283" s="129">
        <f t="shared" si="39"/>
        <v>6.9919676275894254E-6</v>
      </c>
      <c r="L283" s="258">
        <f>IFERROR(VLOOKUP($D283,'Planes y paquetes'!$C$384:$BW$417,4,FALSE),"")</f>
        <v>1265.6600000000001</v>
      </c>
      <c r="M283" s="258"/>
    </row>
    <row r="284" spans="2:13" ht="12">
      <c r="B284" s="142" t="str">
        <f t="shared" si="40"/>
        <v>Paquete Telmex Negocio Ilimitado 2No Residencial</v>
      </c>
      <c r="C284" s="255">
        <f t="shared" si="41"/>
        <v>24</v>
      </c>
      <c r="D284" s="256" t="str">
        <v>Paquete Telmex Negocio Ilimitado 2</v>
      </c>
      <c r="E284" s="88" t="str">
        <f>IFERROR(VLOOKUP($D284,'Planes y paquetes'!$C$383:$E$417,2,FALSE),"")</f>
        <v>No Residencial</v>
      </c>
      <c r="F284" s="88" t="str">
        <f>IFERROR(VLOOKUP($D284,'Planes y paquetes'!$C$383:$E$417,3,FALSE),"")</f>
        <v>Telefonía fija + Internet fijo</v>
      </c>
      <c r="G284" s="16" t="str">
        <f t="shared" si="38"/>
        <v>750 Mbps</v>
      </c>
      <c r="H284" s="257">
        <f>IFERROR(VLOOKUP($D284,'Planes y paquetes'!$C$654:$L$687,10,FALSE),"")+IFERROR(VLOOKUP($D284,'Planes y paquetes'!$C$654:$L$687,8,FALSE),"")</f>
        <v>3</v>
      </c>
      <c r="I284" s="257">
        <f>IFERROR(VLOOKUP($D284,'Planes y paquetes'!$C$654:$L$687,9,FALSE),"")</f>
        <v>36</v>
      </c>
      <c r="J284" s="129">
        <f t="shared" si="39"/>
        <v>1.5202397113976932E-6</v>
      </c>
      <c r="K284" s="129">
        <f t="shared" si="39"/>
        <v>3.5958690656174189E-6</v>
      </c>
      <c r="L284" s="258">
        <f>IFERROR(VLOOKUP($D284,'Planes y paquetes'!$C$384:$BW$417,4,FALSE),"")</f>
        <v>1510.52</v>
      </c>
      <c r="M284" s="258"/>
    </row>
    <row r="285" spans="2:13" ht="12">
      <c r="B285" s="142" t="str">
        <f t="shared" si="40"/>
        <v>Paquete Telmex Negocio Ilimitado 3No Residencial</v>
      </c>
      <c r="C285" s="255">
        <f t="shared" si="41"/>
        <v>25</v>
      </c>
      <c r="D285" s="256" t="str">
        <v>Paquete Telmex Negocio Ilimitado 3</v>
      </c>
      <c r="E285" s="88" t="str">
        <f>IFERROR(VLOOKUP($D285,'Planes y paquetes'!$C$383:$E$417,2,FALSE),"")</f>
        <v>No Residencial</v>
      </c>
      <c r="F285" s="88" t="str">
        <f>IFERROR(VLOOKUP($D285,'Planes y paquetes'!$C$383:$E$417,3,FALSE),"")</f>
        <v>Telefonía fija + Internet fijo</v>
      </c>
      <c r="G285" s="16" t="str">
        <f t="shared" si="38"/>
        <v>1000 Mbps</v>
      </c>
      <c r="H285" s="257">
        <f>IFERROR(VLOOKUP($D285,'Planes y paquetes'!$C$654:$L$687,10,FALSE),"")+IFERROR(VLOOKUP($D285,'Planes y paquetes'!$C$654:$L$687,8,FALSE),"")</f>
        <v>2</v>
      </c>
      <c r="I285" s="257">
        <f>IFERROR(VLOOKUP($D285,'Planes y paquetes'!$C$654:$L$687,9,FALSE),"")</f>
        <v>17</v>
      </c>
      <c r="J285" s="129">
        <f t="shared" si="39"/>
        <v>1.0134931409317955E-6</v>
      </c>
      <c r="K285" s="129">
        <f t="shared" si="39"/>
        <v>1.6980492809860032E-6</v>
      </c>
      <c r="L285" s="258">
        <f>IFERROR(VLOOKUP($D285,'Planes y paquetes'!$C$384:$BW$417,4,FALSE),"")</f>
        <v>1932.69</v>
      </c>
      <c r="M285" s="258"/>
    </row>
    <row r="286" spans="2:13" ht="12">
      <c r="B286" s="142" t="str">
        <f t="shared" si="40"/>
        <v>Infinitum 299 NNo Residencial</v>
      </c>
      <c r="C286" s="255">
        <f t="shared" si="41"/>
        <v>26</v>
      </c>
      <c r="D286" s="256" t="str">
        <v>Infinitum 299 N</v>
      </c>
      <c r="E286" s="88" t="str">
        <f>IFERROR(VLOOKUP($D286,'Planes y paquetes'!$C$383:$E$417,2,FALSE),"")</f>
        <v>No Residencial</v>
      </c>
      <c r="F286" s="88" t="str">
        <f>IFERROR(VLOOKUP($D286,'Planes y paquetes'!$C$383:$E$417,3,FALSE),"")</f>
        <v>Internet fijo</v>
      </c>
      <c r="G286" s="16" t="str">
        <f t="shared" si="38"/>
        <v>40 Mbps</v>
      </c>
      <c r="H286" s="257">
        <f>IFERROR(VLOOKUP($D286,'Planes y paquetes'!$C$654:$L$687,10,FALSE),"")+IFERROR(VLOOKUP($D286,'Planes y paquetes'!$C$654:$L$687,8,FALSE),"")</f>
        <v>72</v>
      </c>
      <c r="I286" s="257">
        <f>IFERROR(VLOOKUP($D286,'Planes y paquetes'!$C$654:$L$687,9,FALSE),"")</f>
        <v>134</v>
      </c>
      <c r="J286" s="129">
        <f t="shared" si="39"/>
        <v>3.6485753073544639E-5</v>
      </c>
      <c r="K286" s="129">
        <f t="shared" si="39"/>
        <v>1.3384623744242614E-5</v>
      </c>
      <c r="L286" s="258">
        <f>IFERROR(VLOOKUP($D286,'Planes y paquetes'!$C$384:$BW$417,4,FALSE),"")</f>
        <v>257.76</v>
      </c>
      <c r="M286" s="258"/>
    </row>
    <row r="287" spans="2:13" ht="12">
      <c r="B287" s="142" t="str">
        <f t="shared" si="40"/>
        <v>Infinitum Negocio 349No Residencial</v>
      </c>
      <c r="C287" s="255">
        <f t="shared" si="41"/>
        <v>27</v>
      </c>
      <c r="D287" s="256" t="str">
        <v>Infinitum Negocio 349</v>
      </c>
      <c r="E287" s="88" t="str">
        <f>IFERROR(VLOOKUP($D287,'Planes y paquetes'!$C$383:$E$417,2,FALSE),"")</f>
        <v>No Residencial</v>
      </c>
      <c r="F287" s="88" t="str">
        <f>IFERROR(VLOOKUP($D287,'Planes y paquetes'!$C$383:$E$417,3,FALSE),"")</f>
        <v>Internet fijo</v>
      </c>
      <c r="G287" s="16" t="str">
        <f t="shared" si="38"/>
        <v>60 Mbps</v>
      </c>
      <c r="H287" s="257">
        <f>IFERROR(VLOOKUP($D287,'Planes y paquetes'!$C$654:$L$687,10,FALSE),"")+IFERROR(VLOOKUP($D287,'Planes y paquetes'!$C$654:$L$687,8,FALSE),"")</f>
        <v>19310</v>
      </c>
      <c r="I287" s="257">
        <f>IFERROR(VLOOKUP($D287,'Planes y paquetes'!$C$654:$L$687,9,FALSE),"")</f>
        <v>92142</v>
      </c>
      <c r="J287" s="129">
        <f t="shared" si="39"/>
        <v>9.7852762756964855E-3</v>
      </c>
      <c r="K287" s="129">
        <f t="shared" si="39"/>
        <v>9.2036268734477823E-3</v>
      </c>
      <c r="L287" s="258">
        <f>IFERROR(VLOOKUP($D287,'Planes y paquetes'!$C$384:$BW$417,4,FALSE),"")</f>
        <v>300.86</v>
      </c>
      <c r="M287" s="258"/>
    </row>
    <row r="288" spans="2:13" ht="12">
      <c r="B288" s="142" t="str">
        <f t="shared" si="40"/>
        <v>Infinitum Negocio 399No Residencial</v>
      </c>
      <c r="C288" s="255">
        <f t="shared" si="41"/>
        <v>28</v>
      </c>
      <c r="D288" s="256" t="str">
        <v>Infinitum Negocio 399</v>
      </c>
      <c r="E288" s="88" t="str">
        <f>IFERROR(VLOOKUP($D288,'Planes y paquetes'!$C$383:$E$417,2,FALSE),"")</f>
        <v>No Residencial</v>
      </c>
      <c r="F288" s="88" t="str">
        <f>IFERROR(VLOOKUP($D288,'Planes y paquetes'!$C$383:$E$417,3,FALSE),"")</f>
        <v>Internet fijo</v>
      </c>
      <c r="G288" s="16" t="str">
        <f t="shared" si="38"/>
        <v>80 Mbps</v>
      </c>
      <c r="H288" s="257">
        <f>IFERROR(VLOOKUP($D288,'Planes y paquetes'!$C$654:$L$687,10,FALSE),"")+IFERROR(VLOOKUP($D288,'Planes y paquetes'!$C$654:$L$687,8,FALSE),"")</f>
        <v>3085</v>
      </c>
      <c r="I288" s="257">
        <f>IFERROR(VLOOKUP($D288,'Planes y paquetes'!$C$654:$L$687,9,FALSE),"")</f>
        <v>26933</v>
      </c>
      <c r="J288" s="129">
        <f t="shared" si="39"/>
        <v>1.5633131698872945E-3</v>
      </c>
      <c r="K288" s="129">
        <f t="shared" si="39"/>
        <v>2.6902094873409426E-3</v>
      </c>
      <c r="L288" s="258">
        <f>IFERROR(VLOOKUP($D288,'Planes y paquetes'!$C$384:$BW$417,4,FALSE),"")</f>
        <v>343.97</v>
      </c>
      <c r="M288" s="258"/>
    </row>
    <row r="289" spans="1:38" ht="12">
      <c r="B289" s="142" t="str">
        <f t="shared" si="40"/>
        <v>Infinitum Negocio 449No Residencial</v>
      </c>
      <c r="C289" s="255">
        <f t="shared" si="41"/>
        <v>29</v>
      </c>
      <c r="D289" s="256" t="str">
        <v>Infinitum Negocio 449</v>
      </c>
      <c r="E289" s="88" t="str">
        <f>IFERROR(VLOOKUP($D289,'Planes y paquetes'!$C$383:$E$417,2,FALSE),"")</f>
        <v>No Residencial</v>
      </c>
      <c r="F289" s="88" t="str">
        <f>IFERROR(VLOOKUP($D289,'Planes y paquetes'!$C$383:$E$417,3,FALSE),"")</f>
        <v>Internet fijo</v>
      </c>
      <c r="G289" s="16" t="str">
        <f t="shared" si="38"/>
        <v>100 Mbps</v>
      </c>
      <c r="H289" s="257">
        <f>IFERROR(VLOOKUP($D289,'Planes y paquetes'!$C$654:$L$687,10,FALSE),"")+IFERROR(VLOOKUP($D289,'Planes y paquetes'!$C$654:$L$687,8,FALSE),"")</f>
        <v>9</v>
      </c>
      <c r="I289" s="257">
        <f>IFERROR(VLOOKUP($D289,'Planes y paquetes'!$C$654:$L$687,9,FALSE),"")</f>
        <v>13400</v>
      </c>
      <c r="J289" s="129">
        <f t="shared" si="39"/>
        <v>4.5607191341930799E-6</v>
      </c>
      <c r="K289" s="129">
        <f t="shared" si="39"/>
        <v>1.3384623744242615E-3</v>
      </c>
      <c r="L289" s="258">
        <f>IFERROR(VLOOKUP($D289,'Planes y paquetes'!$C$384:$BW$417,4,FALSE),"")</f>
        <v>387.07</v>
      </c>
      <c r="M289" s="258"/>
    </row>
    <row r="290" spans="1:38" ht="12">
      <c r="B290" s="142" t="str">
        <f t="shared" si="40"/>
        <v>Infinitum Negocio 549No Residencial</v>
      </c>
      <c r="C290" s="255">
        <f t="shared" si="41"/>
        <v>30</v>
      </c>
      <c r="D290" s="256" t="str">
        <v>Infinitum Negocio 549</v>
      </c>
      <c r="E290" s="88" t="str">
        <f>IFERROR(VLOOKUP($D290,'Planes y paquetes'!$C$383:$E$417,2,FALSE),"")</f>
        <v>No Residencial</v>
      </c>
      <c r="F290" s="88" t="str">
        <f>IFERROR(VLOOKUP($D290,'Planes y paquetes'!$C$383:$E$417,3,FALSE),"")</f>
        <v>Internet fijo</v>
      </c>
      <c r="G290" s="16" t="str">
        <f t="shared" si="38"/>
        <v>200 Mbps</v>
      </c>
      <c r="H290" s="257">
        <f>IFERROR(VLOOKUP($D290,'Planes y paquetes'!$C$654:$L$687,10,FALSE),"")+IFERROR(VLOOKUP($D290,'Planes y paquetes'!$C$654:$L$687,8,FALSE),"")</f>
        <v>125</v>
      </c>
      <c r="I290" s="257">
        <f>IFERROR(VLOOKUP($D290,'Planes y paquetes'!$C$654:$L$687,9,FALSE),"")</f>
        <v>22564</v>
      </c>
      <c r="J290" s="129">
        <f t="shared" si="39"/>
        <v>6.3343321308237212E-5</v>
      </c>
      <c r="K290" s="129">
        <f t="shared" si="39"/>
        <v>2.2538108221275398E-3</v>
      </c>
      <c r="L290" s="258">
        <f>IFERROR(VLOOKUP($D290,'Planes y paquetes'!$C$384:$BW$417,4,FALSE),"")</f>
        <v>473.28</v>
      </c>
      <c r="M290" s="258"/>
    </row>
    <row r="291" spans="1:38" ht="12">
      <c r="B291" s="142" t="str">
        <f t="shared" si="40"/>
        <v>Infinitum Negocio 899No Residencial</v>
      </c>
      <c r="C291" s="255">
        <f t="shared" si="41"/>
        <v>31</v>
      </c>
      <c r="D291" s="256" t="str">
        <v>Infinitum Negocio 899</v>
      </c>
      <c r="E291" s="88" t="str">
        <f>IFERROR(VLOOKUP($D291,'Planes y paquetes'!$C$383:$E$417,2,FALSE),"")</f>
        <v>No Residencial</v>
      </c>
      <c r="F291" s="88" t="str">
        <f>IFERROR(VLOOKUP($D291,'Planes y paquetes'!$C$383:$E$417,3,FALSE),"")</f>
        <v>Internet fijo</v>
      </c>
      <c r="G291" s="16" t="str">
        <f t="shared" si="38"/>
        <v>750 Mbps</v>
      </c>
      <c r="H291" s="257">
        <f>IFERROR(VLOOKUP($D291,'Planes y paquetes'!$C$654:$L$687,10,FALSE),"")+IFERROR(VLOOKUP($D291,'Planes y paquetes'!$C$654:$L$687,8,FALSE),"")</f>
        <v>20</v>
      </c>
      <c r="I291" s="257">
        <f>IFERROR(VLOOKUP($D291,'Planes y paquetes'!$C$654:$L$687,9,FALSE),"")</f>
        <v>7282</v>
      </c>
      <c r="J291" s="129">
        <f t="shared" si="39"/>
        <v>1.0134931409317955E-5</v>
      </c>
      <c r="K291" s="129">
        <f t="shared" si="39"/>
        <v>7.2736440377294562E-4</v>
      </c>
      <c r="L291" s="258">
        <f>IFERROR(VLOOKUP($D291,'Planes y paquetes'!$C$384:$BW$417,4,FALSE),"")</f>
        <v>775</v>
      </c>
      <c r="M291" s="258"/>
    </row>
    <row r="292" spans="1:38" ht="12">
      <c r="B292" s="142" t="str">
        <f t="shared" si="40"/>
        <v>Infinitum NegocioNo Residencial</v>
      </c>
      <c r="C292" s="255">
        <f t="shared" si="41"/>
        <v>32</v>
      </c>
      <c r="D292" s="256" t="str">
        <v>Infinitum Negocio</v>
      </c>
      <c r="E292" s="88" t="str">
        <f>IFERROR(VLOOKUP($D292,'Planes y paquetes'!$C$383:$E$417,2,FALSE),"")</f>
        <v>No Residencial</v>
      </c>
      <c r="F292" s="88" t="str">
        <f>IFERROR(VLOOKUP($D292,'Planes y paquetes'!$C$383:$E$417,3,FALSE),"")</f>
        <v>Internet fijo</v>
      </c>
      <c r="G292" s="16" t="str">
        <f t="shared" si="38"/>
        <v>30 Mbps</v>
      </c>
      <c r="H292" s="257">
        <f>IFERROR(VLOOKUP($D292,'Planes y paquetes'!$C$654:$L$687,10,FALSE),"")+IFERROR(VLOOKUP($D292,'Planes y paquetes'!$C$654:$L$687,8,FALSE),"")</f>
        <v>23903</v>
      </c>
      <c r="I292" s="257">
        <f>IFERROR(VLOOKUP($D292,'Planes y paquetes'!$C$654:$L$687,9,FALSE),"")</f>
        <v>26507</v>
      </c>
      <c r="J292" s="129">
        <f t="shared" si="39"/>
        <v>1.2112763273846354E-2</v>
      </c>
      <c r="K292" s="129">
        <f t="shared" si="39"/>
        <v>2.6476583700644697E-3</v>
      </c>
      <c r="L292" s="258">
        <f>IFERROR(VLOOKUP($D292,'Planes y paquetes'!$C$384:$BW$417,4,FALSE),"")</f>
        <v>349</v>
      </c>
      <c r="M292" s="258"/>
    </row>
    <row r="293" spans="1:38" ht="12">
      <c r="B293" s="142" t="str">
        <f t="shared" si="40"/>
        <v>Infinitum Negocio RedNo Residencial</v>
      </c>
      <c r="C293" s="255">
        <f t="shared" si="41"/>
        <v>33</v>
      </c>
      <c r="D293" s="256" t="str">
        <v>Infinitum Negocio Red</v>
      </c>
      <c r="E293" s="88" t="str">
        <f>IFERROR(VLOOKUP($D293,'Planes y paquetes'!$C$383:$E$417,2,FALSE),"")</f>
        <v>No Residencial</v>
      </c>
      <c r="F293" s="88" t="str">
        <f>IFERROR(VLOOKUP($D293,'Planes y paquetes'!$C$383:$E$417,3,FALSE),"")</f>
        <v>Internet fijo</v>
      </c>
      <c r="G293" s="16" t="str">
        <f t="shared" si="38"/>
        <v>50 Mbps</v>
      </c>
      <c r="H293" s="257">
        <f>IFERROR(VLOOKUP($D293,'Planes y paquetes'!$C$654:$L$687,10,FALSE),"")+IFERROR(VLOOKUP($D293,'Planes y paquetes'!$C$654:$L$687,8,FALSE),"")</f>
        <v>4058</v>
      </c>
      <c r="I293" s="257">
        <f>IFERROR(VLOOKUP($D293,'Planes y paquetes'!$C$654:$L$687,9,FALSE),"")</f>
        <v>7731</v>
      </c>
      <c r="J293" s="129">
        <f t="shared" si="39"/>
        <v>2.056377582950613E-3</v>
      </c>
      <c r="K293" s="129">
        <f t="shared" si="39"/>
        <v>7.7221288184134071E-4</v>
      </c>
      <c r="L293" s="258">
        <f>IFERROR(VLOOKUP($D293,'Planes y paquetes'!$C$384:$BW$417,4,FALSE),"")</f>
        <v>608.69000000000005</v>
      </c>
      <c r="M293" s="258"/>
    </row>
    <row r="294" spans="1:38" ht="12">
      <c r="B294" s="142" t="str">
        <f t="shared" si="40"/>
        <v>Infinitum Negocio PremiumNo Residencial</v>
      </c>
      <c r="C294" s="255">
        <f t="shared" si="41"/>
        <v>34</v>
      </c>
      <c r="D294" s="256" t="str">
        <v>Infinitum Negocio Premium</v>
      </c>
      <c r="E294" s="88" t="str">
        <f>IFERROR(VLOOKUP($D294,'Planes y paquetes'!$C$383:$E$417,2,FALSE),"")</f>
        <v>No Residencial</v>
      </c>
      <c r="F294" s="88" t="str">
        <f>IFERROR(VLOOKUP($D294,'Planes y paquetes'!$C$383:$E$417,3,FALSE),"")</f>
        <v>Internet fijo</v>
      </c>
      <c r="G294" s="16" t="str">
        <f t="shared" si="38"/>
        <v>100 Mbps</v>
      </c>
      <c r="H294" s="257">
        <f>IFERROR(VLOOKUP($D294,'Planes y paquetes'!$C$654:$L$687,10,FALSE),"")+IFERROR(VLOOKUP($D294,'Planes y paquetes'!$C$654:$L$687,8,FALSE),"")</f>
        <v>2955</v>
      </c>
      <c r="I294" s="257">
        <f>IFERROR(VLOOKUP($D294,'Planes y paquetes'!$C$654:$L$687,9,FALSE),"")</f>
        <v>7394</v>
      </c>
      <c r="J294" s="129">
        <f t="shared" si="39"/>
        <v>1.4974361157267279E-3</v>
      </c>
      <c r="K294" s="129">
        <f t="shared" si="39"/>
        <v>7.3855155197708876E-4</v>
      </c>
      <c r="L294" s="258">
        <f>IFERROR(VLOOKUP($D294,'Planes y paquetes'!$C$384:$BW$417,4,FALSE),"")</f>
        <v>1042.5999999999999</v>
      </c>
      <c r="M294" s="258"/>
    </row>
    <row r="295" spans="1:38" ht="12">
      <c r="B295" t="str">
        <f t="shared" si="40"/>
        <v/>
      </c>
      <c r="H295" s="262">
        <f>SUMPRODUCT(H261:H294)</f>
        <v>1973373</v>
      </c>
      <c r="I295" s="262">
        <f>SUMPRODUCT(I261:I294)</f>
        <v>10011488</v>
      </c>
      <c r="J295" s="263">
        <f>SUM(J261:J294)</f>
        <v>1.0000000000000004</v>
      </c>
      <c r="K295" s="263">
        <f>SUM(K261:K294)</f>
        <v>0.99999999999999989</v>
      </c>
      <c r="L295" s="263"/>
      <c r="M295" s="264"/>
    </row>
    <row r="296" spans="1:38" ht="12">
      <c r="A296" s="94">
        <v>8</v>
      </c>
      <c r="B296" s="94" t="s">
        <v>467</v>
      </c>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row>
    <row r="297" spans="1:38" ht="12">
      <c r="AB297" s="265"/>
      <c r="AC297" s="265"/>
    </row>
    <row r="298" spans="1:38" ht="12">
      <c r="C298" s="96" t="s">
        <v>468</v>
      </c>
      <c r="AB298" s="265"/>
      <c r="AC298" s="265"/>
    </row>
    <row r="299" spans="1:38" ht="12">
      <c r="D299" s="266" t="s">
        <v>469</v>
      </c>
    </row>
    <row r="300" spans="1:38" ht="45.95" customHeight="1">
      <c r="D300" s="216" t="s">
        <v>470</v>
      </c>
      <c r="E300" s="216" t="s">
        <v>471</v>
      </c>
      <c r="F300" s="216" t="s">
        <v>472</v>
      </c>
    </row>
    <row r="301" spans="1:38" ht="12">
      <c r="D301" s="231" t="s">
        <v>400</v>
      </c>
      <c r="E301" s="231" t="s">
        <v>400</v>
      </c>
      <c r="F301" s="231" t="s">
        <v>158</v>
      </c>
    </row>
    <row r="302" spans="1:38" ht="12">
      <c r="D302" s="207">
        <v>5</v>
      </c>
      <c r="E302" s="267">
        <v>4</v>
      </c>
      <c r="F302" s="268">
        <v>2101</v>
      </c>
    </row>
    <row r="303" spans="1:38" ht="12">
      <c r="D303" s="207">
        <v>10</v>
      </c>
      <c r="E303" s="267">
        <v>9</v>
      </c>
      <c r="F303" s="268">
        <v>20987</v>
      </c>
    </row>
    <row r="304" spans="1:38" ht="12">
      <c r="D304" s="207">
        <v>20</v>
      </c>
      <c r="E304" s="267">
        <v>20</v>
      </c>
      <c r="F304" s="268">
        <v>879426</v>
      </c>
    </row>
    <row r="305" spans="3:29" ht="12">
      <c r="D305" s="207">
        <v>30</v>
      </c>
      <c r="E305" s="267">
        <v>14</v>
      </c>
      <c r="F305" s="268">
        <v>34558</v>
      </c>
      <c r="AB305" s="244"/>
      <c r="AC305" s="244"/>
    </row>
    <row r="306" spans="3:29" ht="12">
      <c r="D306" s="207">
        <v>50</v>
      </c>
      <c r="E306" s="267">
        <v>16</v>
      </c>
      <c r="F306" s="268">
        <v>51596</v>
      </c>
      <c r="AB306" s="265"/>
      <c r="AC306" s="265"/>
    </row>
    <row r="307" spans="3:29" ht="12">
      <c r="D307" s="207">
        <v>60</v>
      </c>
      <c r="E307" s="267">
        <v>23</v>
      </c>
      <c r="F307" s="268">
        <v>9</v>
      </c>
      <c r="AB307" s="265"/>
      <c r="AC307" s="265"/>
    </row>
    <row r="308" spans="3:29" ht="12">
      <c r="D308" s="207">
        <v>100</v>
      </c>
      <c r="E308" s="267">
        <v>14</v>
      </c>
      <c r="F308" s="268">
        <v>10545</v>
      </c>
    </row>
    <row r="309" spans="3:29" ht="12">
      <c r="D309" s="207">
        <v>150</v>
      </c>
      <c r="E309" s="267">
        <v>24</v>
      </c>
      <c r="F309" s="268">
        <v>4772</v>
      </c>
    </row>
    <row r="310" spans="3:29" ht="12">
      <c r="D310" s="207">
        <v>200</v>
      </c>
      <c r="E310" s="267">
        <v>22</v>
      </c>
      <c r="F310" s="268">
        <v>2910</v>
      </c>
    </row>
    <row r="311" spans="3:29" ht="15">
      <c r="D311" s="269"/>
      <c r="E311" s="270"/>
      <c r="F311" s="271"/>
    </row>
    <row r="312" spans="3:29" ht="12.75" thickBot="1">
      <c r="D312" s="272"/>
      <c r="E312" s="273"/>
    </row>
    <row r="313" spans="3:29" ht="12">
      <c r="E313" s="274" t="s">
        <v>473</v>
      </c>
      <c r="F313" s="275"/>
    </row>
    <row r="314" spans="3:29" ht="12"/>
    <row r="315" spans="3:29" ht="12">
      <c r="C315" s="96" t="s">
        <v>467</v>
      </c>
    </row>
    <row r="316" spans="3:29" ht="12"/>
    <row r="317" spans="3:29" ht="54.95" customHeight="1">
      <c r="C317" s="69" t="s">
        <v>158</v>
      </c>
      <c r="D317" s="69" t="s">
        <v>474</v>
      </c>
      <c r="E317" s="69" t="s">
        <v>475</v>
      </c>
      <c r="F317" s="204" t="s">
        <v>476</v>
      </c>
      <c r="G317" s="204" t="s">
        <v>477</v>
      </c>
      <c r="H317" s="204" t="s">
        <v>475</v>
      </c>
      <c r="I317" s="204" t="s">
        <v>478</v>
      </c>
      <c r="K317" s="204" t="s">
        <v>479</v>
      </c>
      <c r="L317" s="204" t="s">
        <v>480</v>
      </c>
      <c r="M317" s="204" t="s">
        <v>477</v>
      </c>
      <c r="N317" s="204" t="s">
        <v>481</v>
      </c>
      <c r="O317" s="204" t="s">
        <v>482</v>
      </c>
      <c r="P317" s="204" t="s">
        <v>215</v>
      </c>
    </row>
    <row r="318" spans="3:29" ht="12">
      <c r="C318" s="276" t="s">
        <v>483</v>
      </c>
      <c r="F318" s="231" t="s">
        <v>400</v>
      </c>
      <c r="G318" s="231" t="s">
        <v>484</v>
      </c>
      <c r="K318" s="231" t="s">
        <v>400</v>
      </c>
      <c r="L318" s="231" t="s">
        <v>484</v>
      </c>
      <c r="M318" s="231" t="s">
        <v>400</v>
      </c>
      <c r="N318" s="231" t="s">
        <v>223</v>
      </c>
      <c r="O318" s="231" t="s">
        <v>223</v>
      </c>
      <c r="Y318" s="277"/>
      <c r="Z318" s="277"/>
      <c r="AA318" s="277"/>
    </row>
    <row r="319" spans="3:29" ht="12">
      <c r="C319" s="278">
        <v>1</v>
      </c>
      <c r="D319" s="16" t="s">
        <v>485</v>
      </c>
      <c r="E319" s="16" t="s">
        <v>486</v>
      </c>
      <c r="F319" s="207">
        <v>3</v>
      </c>
      <c r="G319" s="279">
        <v>512</v>
      </c>
      <c r="H319" s="16" t="s">
        <v>487</v>
      </c>
      <c r="I319" s="16" t="s">
        <v>488</v>
      </c>
      <c r="K319" s="280">
        <f t="shared" ref="K319:K347" si="42">F319</f>
        <v>3</v>
      </c>
      <c r="L319" s="234">
        <f>K319*factor.Mbps.to.Kbps</f>
        <v>3072</v>
      </c>
      <c r="M319" s="281">
        <f>G319</f>
        <v>512</v>
      </c>
      <c r="N319" s="282">
        <f>M319/L319</f>
        <v>0.16666666666666666</v>
      </c>
      <c r="O319" s="283">
        <f>IFERROR(1-M319/L319,"")</f>
        <v>0.83333333333333337</v>
      </c>
      <c r="P319" t="s">
        <v>489</v>
      </c>
      <c r="Q319" s="121"/>
      <c r="Y319" s="277"/>
      <c r="Z319" s="277"/>
      <c r="AA319" s="277"/>
    </row>
    <row r="320" spans="3:29" ht="12">
      <c r="C320" s="180">
        <f>1+C319</f>
        <v>2</v>
      </c>
      <c r="D320" s="280" t="str">
        <f>D319</f>
        <v>Cobre, FTTN, FTTC</v>
      </c>
      <c r="E320" s="280" t="str">
        <f>E319</f>
        <v>Asimétrico</v>
      </c>
      <c r="F320" s="207">
        <v>5</v>
      </c>
      <c r="G320" s="279">
        <v>768</v>
      </c>
      <c r="H320" s="280" t="str">
        <f>H319</f>
        <v>Datos, Doble calidad, Doble calidad con portabilidad</v>
      </c>
      <c r="I320" s="280" t="str">
        <f>I319</f>
        <v>BE, Doble, Datos Generales, Triple</v>
      </c>
      <c r="K320" s="280">
        <f>VLOOKUP(F320,$D$302:$I$310,2,FALSE)</f>
        <v>4</v>
      </c>
      <c r="L320" s="234">
        <f t="shared" ref="L320:L346" si="43">K320*factor.Mbps.to.Kbps</f>
        <v>4096</v>
      </c>
      <c r="M320" s="281">
        <f>G320</f>
        <v>768</v>
      </c>
      <c r="N320" s="282">
        <f t="shared" ref="N320:N327" si="44">M320/L320</f>
        <v>0.1875</v>
      </c>
      <c r="O320" s="283">
        <f t="shared" ref="O320:O328" si="45">IFERROR(1-M320/L320,"")</f>
        <v>0.8125</v>
      </c>
      <c r="P320" s="284" t="str">
        <f>P319</f>
        <v>Se estima la proporción del ancho de banda de subida necesario para hacer simétrico al perfil</v>
      </c>
      <c r="Y320" s="277"/>
      <c r="Z320" s="277"/>
      <c r="AA320" s="277"/>
    </row>
    <row r="321" spans="3:27" ht="12">
      <c r="C321" s="180">
        <f t="shared" ref="C321:C347" si="46">1+C320</f>
        <v>3</v>
      </c>
      <c r="D321" s="280" t="str">
        <f t="shared" ref="D321:E327" si="47">D320</f>
        <v>Cobre, FTTN, FTTC</v>
      </c>
      <c r="E321" s="280" t="str">
        <f t="shared" si="47"/>
        <v>Asimétrico</v>
      </c>
      <c r="F321" s="207">
        <v>10</v>
      </c>
      <c r="G321" s="279">
        <v>960</v>
      </c>
      <c r="H321" s="280" t="str">
        <f t="shared" ref="H321:I336" si="48">H320</f>
        <v>Datos, Doble calidad, Doble calidad con portabilidad</v>
      </c>
      <c r="I321" s="280" t="str">
        <f t="shared" si="48"/>
        <v>BE, Doble, Datos Generales, Triple</v>
      </c>
      <c r="K321" s="285">
        <f>VLOOKUP(F321,$D$302:$H$310,2,FALSE)</f>
        <v>9</v>
      </c>
      <c r="L321" s="234">
        <f>K321*factor.Mbps.to.Kbps</f>
        <v>9216</v>
      </c>
      <c r="M321" s="281">
        <f t="shared" ref="M321:M327" si="49">G321</f>
        <v>960</v>
      </c>
      <c r="N321" s="282">
        <f t="shared" si="44"/>
        <v>0.10416666666666667</v>
      </c>
      <c r="O321" s="283">
        <f t="shared" si="45"/>
        <v>0.89583333333333337</v>
      </c>
      <c r="P321" s="284" t="str">
        <f t="shared" ref="P321:P339" si="50">P320</f>
        <v>Se estima la proporción del ancho de banda de subida necesario para hacer simétrico al perfil</v>
      </c>
      <c r="Y321" s="277"/>
      <c r="Z321" s="277"/>
      <c r="AA321" s="277"/>
    </row>
    <row r="322" spans="3:27" ht="12">
      <c r="C322" s="180">
        <f t="shared" si="46"/>
        <v>4</v>
      </c>
      <c r="D322" s="280" t="str">
        <f t="shared" si="47"/>
        <v>Cobre, FTTN, FTTC</v>
      </c>
      <c r="E322" s="280" t="str">
        <f t="shared" si="47"/>
        <v>Asimétrico</v>
      </c>
      <c r="F322" s="207">
        <v>20</v>
      </c>
      <c r="G322" s="279">
        <v>2000</v>
      </c>
      <c r="H322" s="280" t="str">
        <f t="shared" si="48"/>
        <v>Datos, Doble calidad, Doble calidad con portabilidad</v>
      </c>
      <c r="I322" s="280" t="str">
        <f t="shared" si="48"/>
        <v>BE, Doble, Datos Generales, Triple</v>
      </c>
      <c r="K322" s="285">
        <f>VLOOKUP(F322,$D$302:$H$310,2,FALSE)</f>
        <v>20</v>
      </c>
      <c r="L322" s="234">
        <f>K322*factor.Mbps.to.Kbps</f>
        <v>20480</v>
      </c>
      <c r="M322" s="281">
        <f t="shared" si="49"/>
        <v>2000</v>
      </c>
      <c r="N322" s="282">
        <f t="shared" si="44"/>
        <v>9.765625E-2</v>
      </c>
      <c r="O322" s="283">
        <f t="shared" si="45"/>
        <v>0.90234375</v>
      </c>
      <c r="P322" s="284" t="str">
        <f t="shared" si="50"/>
        <v>Se estima la proporción del ancho de banda de subida necesario para hacer simétrico al perfil</v>
      </c>
      <c r="Y322" s="277"/>
      <c r="Z322" s="277"/>
      <c r="AA322" s="277"/>
    </row>
    <row r="323" spans="3:27" ht="12">
      <c r="C323" s="180">
        <f t="shared" si="46"/>
        <v>5</v>
      </c>
      <c r="D323" s="280" t="str">
        <f t="shared" si="47"/>
        <v>Cobre, FTTN, FTTC</v>
      </c>
      <c r="E323" s="280" t="str">
        <f t="shared" si="47"/>
        <v>Asimétrico</v>
      </c>
      <c r="F323" s="207">
        <v>30</v>
      </c>
      <c r="G323" s="279">
        <v>3000</v>
      </c>
      <c r="H323" s="280" t="str">
        <f t="shared" si="48"/>
        <v>Datos, Doble calidad, Doble calidad con portabilidad</v>
      </c>
      <c r="I323" s="280" t="str">
        <f t="shared" si="48"/>
        <v>BE, Doble, Datos Generales, Triple</v>
      </c>
      <c r="K323" s="285">
        <f>VLOOKUP(F323,$D$302:$H$310,2,FALSE)</f>
        <v>14</v>
      </c>
      <c r="L323" s="234">
        <f t="shared" si="43"/>
        <v>14336</v>
      </c>
      <c r="M323" s="281">
        <f t="shared" si="49"/>
        <v>3000</v>
      </c>
      <c r="N323" s="282">
        <f t="shared" si="44"/>
        <v>0.20926339285714285</v>
      </c>
      <c r="O323" s="283">
        <f t="shared" si="45"/>
        <v>0.79073660714285721</v>
      </c>
      <c r="P323" s="284" t="str">
        <f t="shared" si="50"/>
        <v>Se estima la proporción del ancho de banda de subida necesario para hacer simétrico al perfil</v>
      </c>
      <c r="Y323" s="277"/>
      <c r="Z323" s="277"/>
      <c r="AA323" s="277"/>
    </row>
    <row r="324" spans="3:27" ht="12">
      <c r="C324" s="180">
        <f t="shared" si="46"/>
        <v>6</v>
      </c>
      <c r="D324" s="280" t="str">
        <f t="shared" si="47"/>
        <v>Cobre, FTTN, FTTC</v>
      </c>
      <c r="E324" s="280" t="str">
        <f t="shared" si="47"/>
        <v>Asimétrico</v>
      </c>
      <c r="F324" s="207">
        <v>40</v>
      </c>
      <c r="G324" s="279">
        <v>4000</v>
      </c>
      <c r="H324" s="280" t="str">
        <f t="shared" si="48"/>
        <v>Datos, Doble calidad, Doble calidad con portabilidad</v>
      </c>
      <c r="I324" s="280" t="str">
        <f t="shared" si="48"/>
        <v>BE, Doble, Datos Generales, Triple</v>
      </c>
      <c r="K324" s="285"/>
      <c r="L324" s="234">
        <f t="shared" si="43"/>
        <v>0</v>
      </c>
      <c r="M324" s="281">
        <f t="shared" si="49"/>
        <v>4000</v>
      </c>
      <c r="N324" s="282" t="e">
        <f t="shared" si="44"/>
        <v>#DIV/0!</v>
      </c>
      <c r="O324" s="283" t="str">
        <f t="shared" si="45"/>
        <v/>
      </c>
      <c r="P324" s="284" t="str">
        <f t="shared" si="50"/>
        <v>Se estima la proporción del ancho de banda de subida necesario para hacer simétrico al perfil</v>
      </c>
      <c r="Y324" s="277"/>
      <c r="Z324" s="277"/>
      <c r="AA324" s="277"/>
    </row>
    <row r="325" spans="3:27" ht="12">
      <c r="C325" s="180">
        <f t="shared" si="46"/>
        <v>7</v>
      </c>
      <c r="D325" s="280" t="str">
        <f t="shared" si="47"/>
        <v>Cobre, FTTN, FTTC</v>
      </c>
      <c r="E325" s="280" t="str">
        <f t="shared" si="47"/>
        <v>Asimétrico</v>
      </c>
      <c r="F325" s="207">
        <v>50</v>
      </c>
      <c r="G325" s="279">
        <v>5000</v>
      </c>
      <c r="H325" s="280" t="str">
        <f t="shared" si="48"/>
        <v>Datos, Doble calidad, Doble calidad con portabilidad</v>
      </c>
      <c r="I325" s="280" t="str">
        <f t="shared" si="48"/>
        <v>BE, Doble, Datos Generales, Triple</v>
      </c>
      <c r="K325" s="285">
        <f>VLOOKUP(F325,$D$302:$H$310,2,FALSE)</f>
        <v>16</v>
      </c>
      <c r="L325" s="234">
        <f t="shared" si="43"/>
        <v>16384</v>
      </c>
      <c r="M325" s="281">
        <f t="shared" si="49"/>
        <v>5000</v>
      </c>
      <c r="N325" s="282">
        <f t="shared" si="44"/>
        <v>0.30517578125</v>
      </c>
      <c r="O325" s="283">
        <f t="shared" si="45"/>
        <v>0.69482421875</v>
      </c>
      <c r="P325" s="284" t="str">
        <f t="shared" si="50"/>
        <v>Se estima la proporción del ancho de banda de subida necesario para hacer simétrico al perfil</v>
      </c>
      <c r="Y325" s="277"/>
      <c r="Z325" s="277"/>
      <c r="AA325" s="277"/>
    </row>
    <row r="326" spans="3:27" ht="12">
      <c r="C326" s="180">
        <f t="shared" si="46"/>
        <v>8</v>
      </c>
      <c r="D326" s="280" t="str">
        <f t="shared" si="47"/>
        <v>Cobre, FTTN, FTTC</v>
      </c>
      <c r="E326" s="280" t="str">
        <f t="shared" si="47"/>
        <v>Asimétrico</v>
      </c>
      <c r="F326" s="207">
        <v>60</v>
      </c>
      <c r="G326" s="279">
        <v>6000</v>
      </c>
      <c r="H326" s="280" t="str">
        <f t="shared" si="48"/>
        <v>Datos, Doble calidad, Doble calidad con portabilidad</v>
      </c>
      <c r="I326" s="280" t="str">
        <f t="shared" si="48"/>
        <v>BE, Doble, Datos Generales, Triple</v>
      </c>
      <c r="K326" s="285">
        <f>VLOOKUP(F326,$D$302:$H$310,2,FALSE)</f>
        <v>23</v>
      </c>
      <c r="L326" s="234">
        <f t="shared" si="43"/>
        <v>23552</v>
      </c>
      <c r="M326" s="281">
        <f t="shared" si="49"/>
        <v>6000</v>
      </c>
      <c r="N326" s="282">
        <f t="shared" si="44"/>
        <v>0.2547554347826087</v>
      </c>
      <c r="O326" s="283">
        <f t="shared" si="45"/>
        <v>0.74524456521739135</v>
      </c>
      <c r="P326" s="284" t="str">
        <f t="shared" si="50"/>
        <v>Se estima la proporción del ancho de banda de subida necesario para hacer simétrico al perfil</v>
      </c>
      <c r="Y326" s="277"/>
      <c r="Z326" s="277"/>
      <c r="AA326" s="277"/>
    </row>
    <row r="327" spans="3:27" ht="12">
      <c r="C327" s="180">
        <f t="shared" si="46"/>
        <v>9</v>
      </c>
      <c r="D327" s="280" t="str">
        <f t="shared" si="47"/>
        <v>Cobre, FTTN, FTTC</v>
      </c>
      <c r="E327" s="280" t="str">
        <f t="shared" si="47"/>
        <v>Asimétrico</v>
      </c>
      <c r="F327" s="207">
        <v>100</v>
      </c>
      <c r="G327" s="279">
        <v>10000</v>
      </c>
      <c r="H327" s="280" t="str">
        <f t="shared" si="48"/>
        <v>Datos, Doble calidad, Doble calidad con portabilidad</v>
      </c>
      <c r="I327" s="280" t="str">
        <f t="shared" si="48"/>
        <v>BE, Doble, Datos Generales, Triple</v>
      </c>
      <c r="K327" s="285">
        <f>VLOOKUP(F327,$D$302:$H$310,2,FALSE)</f>
        <v>14</v>
      </c>
      <c r="L327" s="234">
        <f t="shared" si="43"/>
        <v>14336</v>
      </c>
      <c r="M327" s="281">
        <f t="shared" si="49"/>
        <v>10000</v>
      </c>
      <c r="N327" s="282">
        <f t="shared" si="44"/>
        <v>0.6975446428571429</v>
      </c>
      <c r="O327" s="283">
        <f t="shared" si="45"/>
        <v>0.3024553571428571</v>
      </c>
      <c r="P327" s="284" t="str">
        <f t="shared" si="50"/>
        <v>Se estima la proporción del ancho de banda de subida necesario para hacer simétrico al perfil</v>
      </c>
      <c r="Y327" s="277"/>
      <c r="Z327" s="277"/>
      <c r="AA327" s="277"/>
    </row>
    <row r="328" spans="3:27" ht="12">
      <c r="C328" s="180">
        <f>1+C327</f>
        <v>10</v>
      </c>
      <c r="D328" s="280" t="str">
        <f>D327</f>
        <v>Cobre, FTTN, FTTC</v>
      </c>
      <c r="E328" s="280" t="str">
        <f>E327</f>
        <v>Asimétrico</v>
      </c>
      <c r="F328" s="207">
        <v>200</v>
      </c>
      <c r="G328" s="279"/>
      <c r="H328" s="280" t="str">
        <f>H327</f>
        <v>Datos, Doble calidad, Doble calidad con portabilidad</v>
      </c>
      <c r="I328" s="280" t="str">
        <f>I327</f>
        <v>BE, Doble, Datos Generales, Triple</v>
      </c>
      <c r="K328" s="285">
        <f>VLOOKUP(F328,$D$302:$H$310,2,FALSE)</f>
        <v>22</v>
      </c>
      <c r="L328" s="234"/>
      <c r="M328" s="281"/>
      <c r="N328" s="282"/>
      <c r="O328" s="283" t="str">
        <f t="shared" si="45"/>
        <v/>
      </c>
      <c r="P328" s="284"/>
      <c r="Y328" s="277"/>
      <c r="Z328" s="277"/>
      <c r="AA328" s="277"/>
    </row>
    <row r="329" spans="3:27" ht="12">
      <c r="C329" s="180"/>
      <c r="D329" s="280"/>
      <c r="E329" s="280"/>
      <c r="F329" s="207"/>
      <c r="G329" s="279"/>
      <c r="H329" s="280"/>
      <c r="I329" s="280"/>
      <c r="K329" s="285"/>
      <c r="L329" s="234"/>
      <c r="M329" s="281"/>
      <c r="N329" s="282"/>
      <c r="O329" s="283"/>
      <c r="P329" s="284"/>
      <c r="Y329" s="277"/>
      <c r="Z329" s="277"/>
      <c r="AA329" s="277"/>
    </row>
    <row r="330" spans="3:27" ht="12">
      <c r="C330" s="180">
        <f>1+C328</f>
        <v>11</v>
      </c>
      <c r="D330" s="16" t="s">
        <v>490</v>
      </c>
      <c r="E330" s="16" t="s">
        <v>486</v>
      </c>
      <c r="F330" s="207">
        <v>3</v>
      </c>
      <c r="G330" s="279">
        <v>512</v>
      </c>
      <c r="H330" s="280" t="str">
        <f>H327</f>
        <v>Datos, Doble calidad, Doble calidad con portabilidad</v>
      </c>
      <c r="I330" s="280" t="str">
        <f>I327</f>
        <v>BE, Doble, Datos Generales, Triple</v>
      </c>
      <c r="K330" s="280">
        <f t="shared" si="42"/>
        <v>3</v>
      </c>
      <c r="L330" s="234">
        <f>K330*factor.Mbps.to.Kbps</f>
        <v>3072</v>
      </c>
      <c r="M330" s="281">
        <f>G330</f>
        <v>512</v>
      </c>
      <c r="N330" s="282">
        <f>M330/L330</f>
        <v>0.16666666666666666</v>
      </c>
      <c r="O330" s="283">
        <f>1-M330/L330</f>
        <v>0.83333333333333337</v>
      </c>
      <c r="P330" s="284" t="str">
        <f>P327</f>
        <v>Se estima la proporción del ancho de banda de subida necesario para hacer simétrico al perfil</v>
      </c>
      <c r="Y330" s="277"/>
      <c r="Z330" s="277"/>
      <c r="AA330" s="277"/>
    </row>
    <row r="331" spans="3:27" ht="12">
      <c r="C331" s="180">
        <f t="shared" si="46"/>
        <v>12</v>
      </c>
      <c r="D331" s="280" t="str">
        <f>D330</f>
        <v>Fibra FTTH</v>
      </c>
      <c r="E331" s="280" t="str">
        <f>E330</f>
        <v>Asimétrico</v>
      </c>
      <c r="F331" s="207">
        <v>5</v>
      </c>
      <c r="G331" s="279">
        <v>1000</v>
      </c>
      <c r="H331" s="280" t="str">
        <f t="shared" si="48"/>
        <v>Datos, Doble calidad, Doble calidad con portabilidad</v>
      </c>
      <c r="I331" s="280" t="str">
        <f t="shared" si="48"/>
        <v>BE, Doble, Datos Generales, Triple</v>
      </c>
      <c r="K331" s="280">
        <f t="shared" si="42"/>
        <v>5</v>
      </c>
      <c r="L331" s="234">
        <f t="shared" si="43"/>
        <v>5120</v>
      </c>
      <c r="M331" s="281">
        <v>1024</v>
      </c>
      <c r="N331" s="282">
        <f t="shared" ref="N331:N339" si="51">M331/L331</f>
        <v>0.2</v>
      </c>
      <c r="O331" s="283">
        <f t="shared" ref="O331:O339" si="52">1-M331/L331</f>
        <v>0.8</v>
      </c>
      <c r="P331" s="284" t="str">
        <f t="shared" si="50"/>
        <v>Se estima la proporción del ancho de banda de subida necesario para hacer simétrico al perfil</v>
      </c>
    </row>
    <row r="332" spans="3:27" ht="12">
      <c r="C332" s="180">
        <f t="shared" si="46"/>
        <v>13</v>
      </c>
      <c r="D332" s="280" t="str">
        <f t="shared" ref="D332:E341" si="53">D331</f>
        <v>Fibra FTTH</v>
      </c>
      <c r="E332" s="280" t="str">
        <f t="shared" si="53"/>
        <v>Asimétrico</v>
      </c>
      <c r="F332" s="207">
        <v>10</v>
      </c>
      <c r="G332" s="279">
        <v>1000</v>
      </c>
      <c r="H332" s="280" t="str">
        <f t="shared" si="48"/>
        <v>Datos, Doble calidad, Doble calidad con portabilidad</v>
      </c>
      <c r="I332" s="280" t="str">
        <f t="shared" si="48"/>
        <v>BE, Doble, Datos Generales, Triple</v>
      </c>
      <c r="K332" s="280">
        <f t="shared" si="42"/>
        <v>10</v>
      </c>
      <c r="L332" s="234">
        <f t="shared" si="43"/>
        <v>10240</v>
      </c>
      <c r="M332" s="281">
        <f t="shared" ref="M332:M339" si="54">G332</f>
        <v>1000</v>
      </c>
      <c r="N332" s="282">
        <f t="shared" si="51"/>
        <v>9.765625E-2</v>
      </c>
      <c r="O332" s="283">
        <f t="shared" si="52"/>
        <v>0.90234375</v>
      </c>
      <c r="P332" s="284" t="str">
        <f t="shared" si="50"/>
        <v>Se estima la proporción del ancho de banda de subida necesario para hacer simétrico al perfil</v>
      </c>
    </row>
    <row r="333" spans="3:27" ht="12">
      <c r="C333" s="180">
        <f t="shared" si="46"/>
        <v>14</v>
      </c>
      <c r="D333" s="280" t="str">
        <f t="shared" si="53"/>
        <v>Fibra FTTH</v>
      </c>
      <c r="E333" s="280" t="str">
        <f t="shared" si="53"/>
        <v>Asimétrico</v>
      </c>
      <c r="F333" s="207">
        <v>20</v>
      </c>
      <c r="G333" s="279">
        <v>2000</v>
      </c>
      <c r="H333" s="280" t="str">
        <f t="shared" si="48"/>
        <v>Datos, Doble calidad, Doble calidad con portabilidad</v>
      </c>
      <c r="I333" s="280" t="str">
        <f t="shared" si="48"/>
        <v>BE, Doble, Datos Generales, Triple</v>
      </c>
      <c r="K333" s="280">
        <f t="shared" si="42"/>
        <v>20</v>
      </c>
      <c r="L333" s="234">
        <f t="shared" si="43"/>
        <v>20480</v>
      </c>
      <c r="M333" s="281">
        <f t="shared" si="54"/>
        <v>2000</v>
      </c>
      <c r="N333" s="282">
        <f t="shared" si="51"/>
        <v>9.765625E-2</v>
      </c>
      <c r="O333" s="283">
        <f t="shared" si="52"/>
        <v>0.90234375</v>
      </c>
      <c r="P333" s="284" t="str">
        <f t="shared" si="50"/>
        <v>Se estima la proporción del ancho de banda de subida necesario para hacer simétrico al perfil</v>
      </c>
    </row>
    <row r="334" spans="3:27" ht="12">
      <c r="C334" s="180">
        <f t="shared" si="46"/>
        <v>15</v>
      </c>
      <c r="D334" s="280" t="str">
        <f t="shared" si="53"/>
        <v>Fibra FTTH</v>
      </c>
      <c r="E334" s="280" t="str">
        <f t="shared" si="53"/>
        <v>Asimétrico</v>
      </c>
      <c r="F334" s="207">
        <v>30</v>
      </c>
      <c r="G334" s="279">
        <v>3000</v>
      </c>
      <c r="H334" s="280" t="str">
        <f t="shared" si="48"/>
        <v>Datos, Doble calidad, Doble calidad con portabilidad</v>
      </c>
      <c r="I334" s="280" t="str">
        <f t="shared" si="48"/>
        <v>BE, Doble, Datos Generales, Triple</v>
      </c>
      <c r="K334" s="280">
        <f t="shared" si="42"/>
        <v>30</v>
      </c>
      <c r="L334" s="234">
        <f t="shared" si="43"/>
        <v>30720</v>
      </c>
      <c r="M334" s="281">
        <f t="shared" si="54"/>
        <v>3000</v>
      </c>
      <c r="N334" s="282">
        <f t="shared" si="51"/>
        <v>9.765625E-2</v>
      </c>
      <c r="O334" s="283">
        <f t="shared" si="52"/>
        <v>0.90234375</v>
      </c>
      <c r="P334" s="284" t="str">
        <f t="shared" si="50"/>
        <v>Se estima la proporción del ancho de banda de subida necesario para hacer simétrico al perfil</v>
      </c>
    </row>
    <row r="335" spans="3:27" ht="12">
      <c r="C335" s="180">
        <f t="shared" si="46"/>
        <v>16</v>
      </c>
      <c r="D335" s="280" t="str">
        <f t="shared" si="53"/>
        <v>Fibra FTTH</v>
      </c>
      <c r="E335" s="280" t="str">
        <f t="shared" si="53"/>
        <v>Asimétrico</v>
      </c>
      <c r="F335" s="207">
        <v>40</v>
      </c>
      <c r="G335" s="279">
        <v>4000</v>
      </c>
      <c r="H335" s="280" t="str">
        <f t="shared" si="48"/>
        <v>Datos, Doble calidad, Doble calidad con portabilidad</v>
      </c>
      <c r="I335" s="280" t="str">
        <f t="shared" si="48"/>
        <v>BE, Doble, Datos Generales, Triple</v>
      </c>
      <c r="K335" s="280">
        <f t="shared" si="42"/>
        <v>40</v>
      </c>
      <c r="L335" s="234">
        <f t="shared" si="43"/>
        <v>40960</v>
      </c>
      <c r="M335" s="281">
        <f t="shared" si="54"/>
        <v>4000</v>
      </c>
      <c r="N335" s="282">
        <f t="shared" si="51"/>
        <v>9.765625E-2</v>
      </c>
      <c r="O335" s="283">
        <f>1-M335/L335</f>
        <v>0.90234375</v>
      </c>
      <c r="P335" s="284" t="str">
        <f t="shared" si="50"/>
        <v>Se estima la proporción del ancho de banda de subida necesario para hacer simétrico al perfil</v>
      </c>
    </row>
    <row r="336" spans="3:27" ht="12">
      <c r="C336" s="180">
        <f t="shared" si="46"/>
        <v>17</v>
      </c>
      <c r="D336" s="280" t="str">
        <f t="shared" si="53"/>
        <v>Fibra FTTH</v>
      </c>
      <c r="E336" s="280" t="str">
        <f t="shared" si="53"/>
        <v>Asimétrico</v>
      </c>
      <c r="F336" s="207">
        <v>50</v>
      </c>
      <c r="G336" s="279">
        <v>5000</v>
      </c>
      <c r="H336" s="280" t="str">
        <f t="shared" si="48"/>
        <v>Datos, Doble calidad, Doble calidad con portabilidad</v>
      </c>
      <c r="I336" s="280" t="str">
        <f t="shared" si="48"/>
        <v>BE, Doble, Datos Generales, Triple</v>
      </c>
      <c r="K336" s="280">
        <f t="shared" si="42"/>
        <v>50</v>
      </c>
      <c r="L336" s="234">
        <f t="shared" si="43"/>
        <v>51200</v>
      </c>
      <c r="M336" s="281">
        <f t="shared" si="54"/>
        <v>5000</v>
      </c>
      <c r="N336" s="282">
        <f t="shared" si="51"/>
        <v>9.765625E-2</v>
      </c>
      <c r="O336" s="283">
        <f>1-M336/L336</f>
        <v>0.90234375</v>
      </c>
      <c r="P336" s="284" t="str">
        <f t="shared" si="50"/>
        <v>Se estima la proporción del ancho de banda de subida necesario para hacer simétrico al perfil</v>
      </c>
      <c r="X336" s="273"/>
      <c r="Y336" s="273"/>
      <c r="Z336" s="273"/>
      <c r="AA336" s="273"/>
    </row>
    <row r="337" spans="3:27" ht="12">
      <c r="C337" s="180">
        <f t="shared" si="46"/>
        <v>18</v>
      </c>
      <c r="D337" s="280" t="str">
        <f t="shared" si="53"/>
        <v>Fibra FTTH</v>
      </c>
      <c r="E337" s="280" t="str">
        <f t="shared" si="53"/>
        <v>Asimétrico</v>
      </c>
      <c r="F337" s="207">
        <v>60</v>
      </c>
      <c r="G337" s="279">
        <v>6000</v>
      </c>
      <c r="H337" s="280" t="str">
        <f t="shared" ref="H337:I339" si="55">H336</f>
        <v>Datos, Doble calidad, Doble calidad con portabilidad</v>
      </c>
      <c r="I337" s="280" t="str">
        <f t="shared" si="55"/>
        <v>BE, Doble, Datos Generales, Triple</v>
      </c>
      <c r="K337" s="286">
        <f>F337</f>
        <v>60</v>
      </c>
      <c r="L337" s="234">
        <f t="shared" si="43"/>
        <v>61440</v>
      </c>
      <c r="M337" s="281">
        <f t="shared" si="54"/>
        <v>6000</v>
      </c>
      <c r="N337" s="282">
        <f t="shared" si="51"/>
        <v>9.765625E-2</v>
      </c>
      <c r="O337" s="283">
        <f t="shared" si="52"/>
        <v>0.90234375</v>
      </c>
      <c r="P337" s="284" t="str">
        <f t="shared" si="50"/>
        <v>Se estima la proporción del ancho de banda de subida necesario para hacer simétrico al perfil</v>
      </c>
      <c r="X337" s="273"/>
      <c r="Y337" s="273"/>
      <c r="Z337" s="273"/>
      <c r="AA337" s="273"/>
    </row>
    <row r="338" spans="3:27" ht="12">
      <c r="C338" s="180">
        <f t="shared" si="46"/>
        <v>19</v>
      </c>
      <c r="D338" s="280" t="str">
        <f t="shared" si="53"/>
        <v>Fibra FTTH</v>
      </c>
      <c r="E338" s="280" t="str">
        <f t="shared" si="53"/>
        <v>Asimétrico</v>
      </c>
      <c r="F338" s="207">
        <v>100</v>
      </c>
      <c r="G338" s="279">
        <v>10000</v>
      </c>
      <c r="H338" s="280" t="str">
        <f t="shared" si="55"/>
        <v>Datos, Doble calidad, Doble calidad con portabilidad</v>
      </c>
      <c r="I338" s="280" t="str">
        <f t="shared" si="55"/>
        <v>BE, Doble, Datos Generales, Triple</v>
      </c>
      <c r="K338" s="280">
        <f t="shared" si="42"/>
        <v>100</v>
      </c>
      <c r="L338" s="234">
        <f t="shared" si="43"/>
        <v>102400</v>
      </c>
      <c r="M338" s="281">
        <f t="shared" si="54"/>
        <v>10000</v>
      </c>
      <c r="N338" s="282">
        <f t="shared" si="51"/>
        <v>9.765625E-2</v>
      </c>
      <c r="O338" s="283">
        <f t="shared" si="52"/>
        <v>0.90234375</v>
      </c>
      <c r="P338" s="284" t="str">
        <f t="shared" si="50"/>
        <v>Se estima la proporción del ancho de banda de subida necesario para hacer simétrico al perfil</v>
      </c>
      <c r="X338" s="273"/>
      <c r="Y338" s="273"/>
      <c r="Z338" s="273"/>
      <c r="AA338" s="273"/>
    </row>
    <row r="339" spans="3:27" ht="12">
      <c r="C339" s="180">
        <f t="shared" si="46"/>
        <v>20</v>
      </c>
      <c r="D339" s="280" t="str">
        <f t="shared" si="53"/>
        <v>Fibra FTTH</v>
      </c>
      <c r="E339" s="280" t="str">
        <f t="shared" si="53"/>
        <v>Asimétrico</v>
      </c>
      <c r="F339" s="207">
        <v>200</v>
      </c>
      <c r="G339" s="279">
        <v>20000</v>
      </c>
      <c r="H339" s="280" t="str">
        <f t="shared" si="55"/>
        <v>Datos, Doble calidad, Doble calidad con portabilidad</v>
      </c>
      <c r="I339" s="280" t="str">
        <f t="shared" si="55"/>
        <v>BE, Doble, Datos Generales, Triple</v>
      </c>
      <c r="K339" s="280">
        <f t="shared" si="42"/>
        <v>200</v>
      </c>
      <c r="L339" s="234">
        <f t="shared" si="43"/>
        <v>204800</v>
      </c>
      <c r="M339" s="281">
        <f t="shared" si="54"/>
        <v>20000</v>
      </c>
      <c r="N339" s="282">
        <f t="shared" si="51"/>
        <v>9.765625E-2</v>
      </c>
      <c r="O339" s="283">
        <f t="shared" si="52"/>
        <v>0.90234375</v>
      </c>
      <c r="P339" s="284" t="str">
        <f t="shared" si="50"/>
        <v>Se estima la proporción del ancho de banda de subida necesario para hacer simétrico al perfil</v>
      </c>
      <c r="X339" s="273"/>
      <c r="Y339" s="273"/>
      <c r="Z339" s="273"/>
      <c r="AA339" s="273"/>
    </row>
    <row r="340" spans="3:27" ht="12">
      <c r="C340" s="180">
        <f t="shared" si="46"/>
        <v>21</v>
      </c>
      <c r="D340" s="280" t="str">
        <f t="shared" si="53"/>
        <v>Fibra FTTH</v>
      </c>
      <c r="E340" s="280" t="str">
        <f t="shared" si="53"/>
        <v>Asimétrico</v>
      </c>
      <c r="F340" s="207">
        <v>350</v>
      </c>
      <c r="G340" s="279"/>
      <c r="H340" s="280"/>
      <c r="I340" s="280"/>
      <c r="K340" s="280">
        <f t="shared" si="42"/>
        <v>350</v>
      </c>
      <c r="L340" s="234"/>
      <c r="M340" s="281"/>
      <c r="N340" s="282"/>
      <c r="O340" s="283"/>
      <c r="P340" s="284"/>
      <c r="X340" s="273"/>
      <c r="Y340" s="273"/>
      <c r="Z340" s="273"/>
      <c r="AA340" s="273"/>
    </row>
    <row r="341" spans="3:27" ht="12">
      <c r="C341" s="180">
        <f t="shared" si="46"/>
        <v>22</v>
      </c>
      <c r="D341" s="280" t="str">
        <f t="shared" si="53"/>
        <v>Fibra FTTH</v>
      </c>
      <c r="E341" s="280" t="str">
        <f t="shared" si="53"/>
        <v>Asimétrico</v>
      </c>
      <c r="F341" s="207">
        <v>400</v>
      </c>
      <c r="G341" s="279"/>
      <c r="H341" s="280"/>
      <c r="I341" s="280"/>
      <c r="K341" s="280">
        <f t="shared" si="42"/>
        <v>400</v>
      </c>
      <c r="L341" s="234"/>
      <c r="M341" s="281"/>
      <c r="N341" s="282"/>
      <c r="O341" s="283"/>
      <c r="P341" s="284"/>
      <c r="X341" s="273"/>
      <c r="Y341" s="273"/>
      <c r="Z341" s="273"/>
      <c r="AA341" s="273"/>
    </row>
    <row r="342" spans="3:27" ht="12">
      <c r="C342" s="180">
        <f t="shared" si="46"/>
        <v>23</v>
      </c>
      <c r="D342" s="16" t="s">
        <v>490</v>
      </c>
      <c r="E342" s="16" t="s">
        <v>491</v>
      </c>
      <c r="F342" s="207">
        <v>10</v>
      </c>
      <c r="G342" s="279">
        <v>10000</v>
      </c>
      <c r="H342" s="280" t="str">
        <f>H339</f>
        <v>Datos, Doble calidad, Doble calidad con portabilidad</v>
      </c>
      <c r="I342" s="280" t="str">
        <f>I339</f>
        <v>BE, Doble, Datos Generales, Triple</v>
      </c>
      <c r="K342" s="280">
        <f t="shared" si="42"/>
        <v>10</v>
      </c>
      <c r="L342" s="234">
        <f t="shared" si="43"/>
        <v>10240</v>
      </c>
      <c r="M342" s="287"/>
      <c r="N342" s="288"/>
      <c r="O342" s="288"/>
      <c r="P342" s="288"/>
      <c r="X342" s="273"/>
      <c r="Y342" s="273"/>
      <c r="Z342" s="273"/>
      <c r="AA342" s="273"/>
    </row>
    <row r="343" spans="3:27" ht="12">
      <c r="C343" s="180">
        <f t="shared" si="46"/>
        <v>24</v>
      </c>
      <c r="D343" s="280" t="str">
        <f t="shared" ref="D343:E347" si="56">D342</f>
        <v>Fibra FTTH</v>
      </c>
      <c r="E343" s="280" t="str">
        <f t="shared" si="56"/>
        <v>Simétrico</v>
      </c>
      <c r="F343" s="207">
        <v>30</v>
      </c>
      <c r="G343" s="279">
        <v>30000</v>
      </c>
      <c r="H343" s="280" t="str">
        <f t="shared" ref="H343:I347" si="57">H342</f>
        <v>Datos, Doble calidad, Doble calidad con portabilidad</v>
      </c>
      <c r="I343" s="280" t="str">
        <f t="shared" si="57"/>
        <v>BE, Doble, Datos Generales, Triple</v>
      </c>
      <c r="K343" s="280">
        <f t="shared" si="42"/>
        <v>30</v>
      </c>
      <c r="L343" s="234">
        <f t="shared" si="43"/>
        <v>30720</v>
      </c>
      <c r="M343" s="287"/>
      <c r="N343" s="288"/>
      <c r="O343" s="288"/>
      <c r="P343" s="288"/>
      <c r="X343" s="273"/>
      <c r="Y343" s="273"/>
      <c r="Z343" s="273"/>
      <c r="AA343" s="273"/>
    </row>
    <row r="344" spans="3:27" ht="12">
      <c r="C344" s="180">
        <f t="shared" si="46"/>
        <v>25</v>
      </c>
      <c r="D344" s="280" t="str">
        <f t="shared" si="56"/>
        <v>Fibra FTTH</v>
      </c>
      <c r="E344" s="280" t="str">
        <f t="shared" si="56"/>
        <v>Simétrico</v>
      </c>
      <c r="F344" s="207">
        <v>50</v>
      </c>
      <c r="G344" s="279">
        <v>50000</v>
      </c>
      <c r="H344" s="280" t="str">
        <f t="shared" si="57"/>
        <v>Datos, Doble calidad, Doble calidad con portabilidad</v>
      </c>
      <c r="I344" s="280" t="str">
        <f t="shared" si="57"/>
        <v>BE, Doble, Datos Generales, Triple</v>
      </c>
      <c r="K344" s="280">
        <f t="shared" si="42"/>
        <v>50</v>
      </c>
      <c r="L344" s="234">
        <f t="shared" si="43"/>
        <v>51200</v>
      </c>
      <c r="M344" s="287"/>
      <c r="N344" s="288"/>
      <c r="O344" s="288"/>
      <c r="P344" s="288"/>
      <c r="X344" s="273"/>
      <c r="Y344" s="273"/>
      <c r="Z344" s="273"/>
      <c r="AA344" s="273"/>
    </row>
    <row r="345" spans="3:27" ht="12">
      <c r="C345" s="180">
        <f t="shared" si="46"/>
        <v>26</v>
      </c>
      <c r="D345" s="280" t="str">
        <f t="shared" si="56"/>
        <v>Fibra FTTH</v>
      </c>
      <c r="E345" s="280" t="str">
        <f t="shared" si="56"/>
        <v>Simétrico</v>
      </c>
      <c r="F345" s="207">
        <v>100</v>
      </c>
      <c r="G345" s="279">
        <v>100000</v>
      </c>
      <c r="H345" s="280" t="str">
        <f t="shared" si="57"/>
        <v>Datos, Doble calidad, Doble calidad con portabilidad</v>
      </c>
      <c r="I345" s="280" t="str">
        <f t="shared" si="57"/>
        <v>BE, Doble, Datos Generales, Triple</v>
      </c>
      <c r="K345" s="280">
        <f t="shared" si="42"/>
        <v>100</v>
      </c>
      <c r="L345" s="234">
        <f t="shared" si="43"/>
        <v>102400</v>
      </c>
      <c r="M345" s="287"/>
      <c r="N345" s="288"/>
      <c r="O345" s="288"/>
      <c r="P345" s="288"/>
      <c r="X345" s="273"/>
      <c r="Y345" s="273"/>
      <c r="Z345" s="273"/>
      <c r="AA345" s="273"/>
    </row>
    <row r="346" spans="3:27" ht="12">
      <c r="C346" s="180">
        <f t="shared" si="46"/>
        <v>27</v>
      </c>
      <c r="D346" s="280" t="str">
        <f t="shared" si="56"/>
        <v>Fibra FTTH</v>
      </c>
      <c r="E346" s="280" t="str">
        <f t="shared" si="56"/>
        <v>Simétrico</v>
      </c>
      <c r="F346" s="207">
        <v>150</v>
      </c>
      <c r="G346" s="279">
        <v>150000</v>
      </c>
      <c r="H346" s="280" t="str">
        <f t="shared" si="57"/>
        <v>Datos, Doble calidad, Doble calidad con portabilidad</v>
      </c>
      <c r="I346" s="280" t="str">
        <f t="shared" si="57"/>
        <v>BE, Doble, Datos Generales, Triple</v>
      </c>
      <c r="K346" s="280">
        <f t="shared" si="42"/>
        <v>150</v>
      </c>
      <c r="L346" s="234">
        <f t="shared" si="43"/>
        <v>153600</v>
      </c>
      <c r="M346" s="287"/>
      <c r="N346" s="288"/>
      <c r="O346" s="288"/>
      <c r="P346" s="288"/>
      <c r="X346" s="273"/>
      <c r="Y346" s="273"/>
      <c r="Z346" s="273"/>
      <c r="AA346" s="273"/>
    </row>
    <row r="347" spans="3:27" ht="12.75" thickBot="1">
      <c r="C347" s="180">
        <f t="shared" si="46"/>
        <v>28</v>
      </c>
      <c r="D347" s="280" t="str">
        <f t="shared" si="56"/>
        <v>Fibra FTTH</v>
      </c>
      <c r="E347" s="280" t="str">
        <f t="shared" si="56"/>
        <v>Simétrico</v>
      </c>
      <c r="F347" s="207">
        <v>200</v>
      </c>
      <c r="G347" s="279">
        <v>200000</v>
      </c>
      <c r="H347" s="280" t="str">
        <f t="shared" si="57"/>
        <v>Datos, Doble calidad, Doble calidad con portabilidad</v>
      </c>
      <c r="I347" s="280" t="str">
        <f t="shared" si="57"/>
        <v>BE, Doble, Datos Generales, Triple</v>
      </c>
      <c r="K347" s="280">
        <f t="shared" si="42"/>
        <v>200</v>
      </c>
      <c r="L347" s="234">
        <f>K347*factor.Mbps.to.Kbps</f>
        <v>204800</v>
      </c>
      <c r="M347" s="287"/>
      <c r="N347" s="288"/>
      <c r="O347" s="288"/>
      <c r="P347" s="288"/>
      <c r="X347" s="273"/>
      <c r="Y347" s="273"/>
      <c r="Z347" s="273"/>
      <c r="AA347" s="273"/>
    </row>
    <row r="348" spans="3:27" ht="12">
      <c r="C348" s="50"/>
      <c r="D348" s="50"/>
      <c r="E348" s="50"/>
      <c r="F348" s="50"/>
      <c r="G348" s="50"/>
      <c r="H348" s="50"/>
      <c r="I348" s="50"/>
      <c r="K348" s="50"/>
      <c r="L348" s="50"/>
      <c r="M348" s="50"/>
      <c r="N348" s="50"/>
      <c r="O348" s="50"/>
      <c r="P348" s="50"/>
      <c r="X348" s="273"/>
      <c r="Y348" s="273"/>
      <c r="Z348" s="273"/>
      <c r="AA348" s="273"/>
    </row>
    <row r="349" spans="3:27" ht="12">
      <c r="X349" s="273"/>
      <c r="Y349" s="273"/>
      <c r="Z349" s="273"/>
      <c r="AA349" s="273"/>
    </row>
    <row r="350" spans="3:27" ht="60" customHeight="1">
      <c r="D350" s="204" t="s">
        <v>480</v>
      </c>
      <c r="E350" s="204" t="str">
        <f>"Factor promedio de simetría  
"</f>
        <v xml:space="preserve">Factor promedio de simetría  
</v>
      </c>
      <c r="F350" s="204" t="s">
        <v>215</v>
      </c>
      <c r="X350" s="273"/>
      <c r="Y350" s="273"/>
      <c r="Z350" s="273"/>
      <c r="AA350" s="273"/>
    </row>
    <row r="351" spans="3:27" ht="12">
      <c r="D351" s="231" t="s">
        <v>400</v>
      </c>
      <c r="E351" s="231" t="s">
        <v>223</v>
      </c>
      <c r="X351" s="273"/>
      <c r="Y351" s="273"/>
      <c r="Z351" s="273"/>
      <c r="AA351" s="273"/>
    </row>
    <row r="352" spans="3:27" ht="12">
      <c r="C352" s="278">
        <v>1</v>
      </c>
      <c r="D352" s="207">
        <v>3</v>
      </c>
      <c r="E352" s="289">
        <f>E353</f>
        <v>0.74715889561497151</v>
      </c>
      <c r="F352" s="287"/>
      <c r="X352" s="273"/>
      <c r="Y352" s="273"/>
      <c r="Z352" s="273"/>
      <c r="AA352" s="273"/>
    </row>
    <row r="353" spans="2:27" ht="12">
      <c r="C353" s="180">
        <f>1+C352</f>
        <v>2</v>
      </c>
      <c r="D353" s="207">
        <v>5</v>
      </c>
      <c r="E353" s="290">
        <f>AVERAGE(O319:O327)</f>
        <v>0.74715889561497151</v>
      </c>
      <c r="F353" t="s">
        <v>492</v>
      </c>
      <c r="L353" s="109"/>
      <c r="X353" s="273"/>
      <c r="Y353" s="273"/>
      <c r="Z353" s="273"/>
      <c r="AA353" s="273"/>
    </row>
    <row r="354" spans="2:27" ht="12">
      <c r="C354" s="180">
        <f t="shared" ref="C354:C362" si="58">1+C353</f>
        <v>3</v>
      </c>
      <c r="D354" s="207">
        <v>10</v>
      </c>
      <c r="E354" s="289">
        <f>E353</f>
        <v>0.74715889561497151</v>
      </c>
      <c r="F354" s="287"/>
    </row>
    <row r="355" spans="2:27" ht="12">
      <c r="C355" s="180">
        <f t="shared" si="58"/>
        <v>4</v>
      </c>
      <c r="D355" s="207">
        <v>20</v>
      </c>
      <c r="E355" s="289">
        <f t="shared" ref="E355:E360" si="59">E354</f>
        <v>0.74715889561497151</v>
      </c>
      <c r="F355" s="287"/>
    </row>
    <row r="356" spans="2:27" ht="12">
      <c r="C356" s="180">
        <f t="shared" si="58"/>
        <v>5</v>
      </c>
      <c r="D356" s="207">
        <v>30</v>
      </c>
      <c r="E356" s="289">
        <f t="shared" si="59"/>
        <v>0.74715889561497151</v>
      </c>
      <c r="F356" s="287"/>
    </row>
    <row r="357" spans="2:27" ht="12">
      <c r="C357" s="180">
        <f t="shared" si="58"/>
        <v>6</v>
      </c>
      <c r="D357" s="207">
        <v>40</v>
      </c>
      <c r="E357" s="289">
        <f t="shared" si="59"/>
        <v>0.74715889561497151</v>
      </c>
      <c r="F357" s="287"/>
    </row>
    <row r="358" spans="2:27" ht="12">
      <c r="C358" s="180">
        <f t="shared" si="58"/>
        <v>7</v>
      </c>
      <c r="D358" s="207">
        <v>50</v>
      </c>
      <c r="E358" s="289">
        <f t="shared" si="59"/>
        <v>0.74715889561497151</v>
      </c>
      <c r="F358" s="287"/>
    </row>
    <row r="359" spans="2:27" ht="12">
      <c r="C359" s="180">
        <f t="shared" si="58"/>
        <v>8</v>
      </c>
      <c r="D359" s="207">
        <v>60</v>
      </c>
      <c r="E359" s="289">
        <f t="shared" si="59"/>
        <v>0.74715889561497151</v>
      </c>
      <c r="F359" s="287"/>
    </row>
    <row r="360" spans="2:27" ht="12">
      <c r="B360" s="98"/>
      <c r="C360" s="180">
        <v>9</v>
      </c>
      <c r="D360" s="207">
        <v>80</v>
      </c>
      <c r="E360" s="289">
        <f t="shared" si="59"/>
        <v>0.74715889561497151</v>
      </c>
      <c r="F360" s="291" t="s">
        <v>493</v>
      </c>
    </row>
    <row r="361" spans="2:27" ht="12">
      <c r="B361" s="98"/>
      <c r="C361" s="180">
        <f>1+C359</f>
        <v>9</v>
      </c>
      <c r="D361" s="207">
        <v>100</v>
      </c>
      <c r="E361" s="289">
        <f>E359</f>
        <v>0.74715889561497151</v>
      </c>
      <c r="F361" s="287"/>
    </row>
    <row r="362" spans="2:27" ht="12">
      <c r="B362" s="98"/>
      <c r="C362" s="180">
        <f t="shared" si="58"/>
        <v>10</v>
      </c>
      <c r="D362" s="207">
        <v>150</v>
      </c>
      <c r="E362" s="289">
        <f>E361</f>
        <v>0.74715889561497151</v>
      </c>
      <c r="F362" s="287"/>
    </row>
    <row r="363" spans="2:27" ht="12">
      <c r="B363" s="98"/>
      <c r="C363" s="180">
        <f>1+C362</f>
        <v>11</v>
      </c>
      <c r="D363" s="207">
        <v>200</v>
      </c>
      <c r="E363" s="289">
        <f>E362</f>
        <v>0.74715889561497151</v>
      </c>
      <c r="F363" s="287"/>
    </row>
    <row r="364" spans="2:27" ht="12">
      <c r="B364" s="98"/>
      <c r="C364" s="180">
        <v>12</v>
      </c>
      <c r="D364" s="207">
        <v>300</v>
      </c>
      <c r="E364" s="289">
        <f>E363</f>
        <v>0.74715889561497151</v>
      </c>
      <c r="F364" s="291" t="s">
        <v>493</v>
      </c>
    </row>
    <row r="365" spans="2:27" ht="12">
      <c r="B365" s="98"/>
      <c r="C365" s="180">
        <v>13</v>
      </c>
      <c r="D365" s="207">
        <v>350</v>
      </c>
      <c r="E365" s="289">
        <f>E364</f>
        <v>0.74715889561497151</v>
      </c>
      <c r="F365" s="291" t="s">
        <v>493</v>
      </c>
    </row>
    <row r="366" spans="2:27" ht="12.75" thickBot="1">
      <c r="B366" s="98"/>
      <c r="C366" s="180">
        <v>13</v>
      </c>
      <c r="D366" s="207">
        <v>400</v>
      </c>
      <c r="E366" s="289">
        <f>E365</f>
        <v>0.74715889561497151</v>
      </c>
      <c r="F366" s="291" t="s">
        <v>493</v>
      </c>
    </row>
    <row r="367" spans="2:27" ht="12">
      <c r="C367" s="50"/>
      <c r="D367" s="50"/>
      <c r="E367" s="50"/>
      <c r="F367" s="50"/>
    </row>
    <row r="368" spans="2:27" ht="12"/>
    <row r="369" spans="1:38" ht="12">
      <c r="A369" s="94">
        <v>9</v>
      </c>
      <c r="B369" s="94" t="s">
        <v>494</v>
      </c>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row>
    <row r="370" spans="1:38" ht="12"/>
    <row r="371" spans="1:38" ht="12">
      <c r="C371" s="96" t="s">
        <v>495</v>
      </c>
      <c r="H371" s="132"/>
      <c r="I371" s="292"/>
      <c r="J371" s="132"/>
      <c r="K371" s="132"/>
    </row>
    <row r="372" spans="1:38" ht="12">
      <c r="E372" s="69" t="s">
        <v>496</v>
      </c>
      <c r="F372" s="69" t="s">
        <v>497</v>
      </c>
      <c r="G372" s="69" t="s">
        <v>498</v>
      </c>
      <c r="H372" s="293"/>
      <c r="I372" s="293"/>
      <c r="J372" s="294"/>
      <c r="K372" s="294"/>
      <c r="Q372" s="230"/>
      <c r="R372" s="230"/>
    </row>
    <row r="373" spans="1:38" ht="12">
      <c r="E373" s="231" t="s">
        <v>400</v>
      </c>
      <c r="F373" s="231" t="s">
        <v>287</v>
      </c>
      <c r="G373" s="231"/>
      <c r="H373" s="132"/>
      <c r="I373" s="295"/>
      <c r="J373" s="295"/>
      <c r="K373" s="295"/>
      <c r="R373" s="296"/>
    </row>
    <row r="374" spans="1:38" ht="12">
      <c r="F374" s="73"/>
      <c r="G374" s="73"/>
      <c r="H374" s="297"/>
      <c r="I374" s="297"/>
      <c r="J374" s="297"/>
      <c r="K374" s="297"/>
      <c r="R374" s="296"/>
    </row>
    <row r="375" spans="1:38" ht="12">
      <c r="C375" s="95">
        <v>1</v>
      </c>
      <c r="D375" s="298" t="s">
        <v>195</v>
      </c>
      <c r="E375" s="207">
        <f>LEFT('Planes y paquetes'!O401,FIND(" ",'Planes y paquetes'!O401))*1</f>
        <v>60</v>
      </c>
      <c r="F375" s="166">
        <v>172.41</v>
      </c>
      <c r="G375" t="s">
        <v>499</v>
      </c>
      <c r="H375" s="299"/>
      <c r="I375" s="300"/>
      <c r="J375" s="132"/>
      <c r="K375" s="132"/>
      <c r="V375" s="122"/>
      <c r="W375" s="301"/>
      <c r="X375" s="228"/>
      <c r="AB375" s="228"/>
      <c r="AC375" s="228"/>
    </row>
    <row r="376" spans="1:38" ht="12">
      <c r="C376" s="91">
        <f>C375+1</f>
        <v>2</v>
      </c>
      <c r="D376" s="298" t="s">
        <v>197</v>
      </c>
      <c r="E376" s="207">
        <f>LEFT('Planes y paquetes'!O402,FIND(" ",'Planes y paquetes'!O402))*1</f>
        <v>100</v>
      </c>
      <c r="F376" s="166">
        <v>215.52</v>
      </c>
      <c r="G376" t="s">
        <v>500</v>
      </c>
      <c r="H376" s="299"/>
      <c r="I376" s="300"/>
      <c r="J376" s="132"/>
      <c r="K376" s="132"/>
      <c r="Q376" s="125"/>
      <c r="R376" s="98"/>
      <c r="S376" s="98"/>
      <c r="T376" s="98"/>
      <c r="U376" s="98"/>
      <c r="V376" s="122"/>
      <c r="W376" s="301"/>
      <c r="X376" s="228"/>
      <c r="AB376" s="228"/>
      <c r="AC376" s="228"/>
    </row>
    <row r="377" spans="1:38" ht="12">
      <c r="C377" s="91">
        <f t="shared" ref="C377:C382" si="60">C376+1</f>
        <v>3</v>
      </c>
      <c r="D377" s="162" t="s">
        <v>199</v>
      </c>
      <c r="E377" s="207">
        <f>LEFT('Planes y paquetes'!O403,FIND(" ",'Planes y paquetes'!O403))*1</f>
        <v>200</v>
      </c>
      <c r="F377" s="192">
        <v>241.38</v>
      </c>
      <c r="H377" s="299"/>
      <c r="I377" s="300"/>
      <c r="J377" s="132"/>
      <c r="K377" s="132"/>
      <c r="Q377" s="125"/>
      <c r="R377" s="98"/>
      <c r="S377" s="98"/>
      <c r="T377" s="98"/>
      <c r="U377" s="98"/>
      <c r="V377" s="122"/>
      <c r="W377" s="301"/>
      <c r="X377" s="228"/>
      <c r="AB377" s="228"/>
      <c r="AC377" s="228"/>
    </row>
    <row r="378" spans="1:38" ht="12">
      <c r="C378" s="91">
        <f t="shared" si="60"/>
        <v>4</v>
      </c>
      <c r="D378" s="298" t="s">
        <v>201</v>
      </c>
      <c r="E378" s="207">
        <f>LEFT('Planes y paquetes'!O404,FIND(" ",'Planes y paquetes'!O404))*1</f>
        <v>300</v>
      </c>
      <c r="F378" s="166">
        <v>258.63</v>
      </c>
      <c r="G378" t="s">
        <v>501</v>
      </c>
      <c r="H378" s="299"/>
      <c r="I378" s="300"/>
      <c r="J378" s="132"/>
      <c r="K378" s="132"/>
      <c r="Q378" s="98"/>
      <c r="R378" s="302"/>
      <c r="S378" s="98"/>
      <c r="T378" s="98"/>
      <c r="U378" s="98"/>
      <c r="V378" s="122"/>
      <c r="W378" s="301"/>
      <c r="X378" s="228"/>
      <c r="AB378" s="228"/>
      <c r="AC378" s="228"/>
    </row>
    <row r="379" spans="1:38" ht="12">
      <c r="C379" s="91">
        <f t="shared" si="60"/>
        <v>5</v>
      </c>
      <c r="D379" s="162" t="s">
        <v>203</v>
      </c>
      <c r="E379" s="207">
        <f>LEFT('Planes y paquetes'!O405,FIND(" ",'Planes y paquetes'!O405))*1</f>
        <v>500</v>
      </c>
      <c r="F379" s="192">
        <v>301.72000000000003</v>
      </c>
      <c r="H379" s="299"/>
      <c r="I379" s="300"/>
      <c r="J379" s="132"/>
      <c r="K379" s="132"/>
      <c r="Q379" s="98"/>
      <c r="R379" s="302"/>
      <c r="S379" s="98"/>
      <c r="T379" s="98"/>
      <c r="U379" s="98"/>
      <c r="V379" s="122"/>
      <c r="W379" s="301"/>
      <c r="X379" s="228"/>
      <c r="AB379" s="228"/>
      <c r="AC379" s="228"/>
    </row>
    <row r="380" spans="1:38" ht="12">
      <c r="C380" s="91">
        <f t="shared" si="60"/>
        <v>6</v>
      </c>
      <c r="D380" s="298" t="s">
        <v>502</v>
      </c>
      <c r="E380" s="207">
        <v>750</v>
      </c>
      <c r="F380" s="166">
        <v>344.83</v>
      </c>
      <c r="G380" t="s">
        <v>503</v>
      </c>
      <c r="H380" s="299"/>
      <c r="I380" s="300"/>
      <c r="J380" s="132"/>
      <c r="K380" s="132"/>
      <c r="Q380" s="98"/>
      <c r="R380" s="303"/>
      <c r="S380" s="98"/>
      <c r="T380" s="98"/>
      <c r="U380" s="98"/>
      <c r="V380" s="122"/>
      <c r="W380" s="301"/>
      <c r="X380" s="228"/>
      <c r="AB380" s="228"/>
      <c r="AC380" s="228"/>
    </row>
    <row r="381" spans="1:38" ht="12">
      <c r="C381" s="91">
        <f t="shared" si="60"/>
        <v>7</v>
      </c>
      <c r="D381" s="298" t="s">
        <v>504</v>
      </c>
      <c r="E381" s="207">
        <v>750</v>
      </c>
      <c r="F381" s="166">
        <v>387.94</v>
      </c>
      <c r="G381" t="s">
        <v>505</v>
      </c>
      <c r="H381" s="299"/>
      <c r="I381" s="300"/>
      <c r="J381" s="132"/>
      <c r="K381" s="132"/>
      <c r="Q381" s="228"/>
      <c r="V381" s="122"/>
      <c r="W381" s="301"/>
      <c r="X381" s="228"/>
      <c r="AB381" s="228"/>
      <c r="AC381" s="228"/>
    </row>
    <row r="382" spans="1:38" ht="12.75" thickBot="1">
      <c r="C382" s="91">
        <f t="shared" si="60"/>
        <v>8</v>
      </c>
      <c r="D382" s="298" t="s">
        <v>506</v>
      </c>
      <c r="E382" s="207">
        <v>1000</v>
      </c>
      <c r="F382" s="166">
        <v>431.03</v>
      </c>
      <c r="G382" t="s">
        <v>507</v>
      </c>
      <c r="H382" s="299"/>
      <c r="I382" s="300"/>
      <c r="J382" s="132"/>
      <c r="K382" s="132"/>
      <c r="Q382" s="228"/>
      <c r="V382" s="122"/>
      <c r="W382" s="301"/>
      <c r="X382" s="228"/>
      <c r="AB382" s="228"/>
      <c r="AC382" s="228"/>
    </row>
    <row r="383" spans="1:38" ht="12">
      <c r="C383" s="50"/>
      <c r="D383" s="50"/>
      <c r="E383" s="50"/>
      <c r="F383" s="50"/>
      <c r="G383" s="50"/>
      <c r="H383" s="211"/>
      <c r="I383" s="211"/>
      <c r="J383" s="211"/>
      <c r="V383" s="190"/>
      <c r="W383" s="301"/>
    </row>
    <row r="384" spans="1:38" ht="12">
      <c r="C384" s="96" t="s">
        <v>508</v>
      </c>
      <c r="J384" s="132"/>
      <c r="K384" s="132"/>
      <c r="L384" s="292"/>
    </row>
    <row r="385" spans="3:18" ht="42" customHeight="1">
      <c r="D385" s="40" t="s">
        <v>317</v>
      </c>
      <c r="E385" s="204" t="s">
        <v>509</v>
      </c>
      <c r="F385" s="204" t="s">
        <v>510</v>
      </c>
      <c r="G385" s="40" t="str">
        <f>"Precio minorista "&amp;Year.selected&amp;" Sin impuestos"</f>
        <v>Precio minorista 2024 Sin impuestos</v>
      </c>
      <c r="H385" s="304" t="s">
        <v>511</v>
      </c>
      <c r="I385" s="230"/>
      <c r="J385" s="293"/>
      <c r="K385" s="293"/>
      <c r="L385" s="293"/>
      <c r="N385" s="305"/>
      <c r="Q385" s="230"/>
      <c r="R385" s="230"/>
    </row>
    <row r="386" spans="3:18" ht="12">
      <c r="C386" s="95">
        <v>1</v>
      </c>
      <c r="D386" s="298" t="s">
        <v>195</v>
      </c>
      <c r="E386" s="207">
        <f>LEFT('Planes y paquetes'!O401,FIND(" ",'Planes y paquetes'!O401))*1</f>
        <v>60</v>
      </c>
      <c r="F386" s="207">
        <f>LEFT('Planes y paquetes'!P401,FIND(" ",'Planes y paquetes'!P401))*1</f>
        <v>10</v>
      </c>
      <c r="G386" s="166">
        <f>VLOOKUP(D386,'Planes y paquetes'!$C$384:$G$423,4,FALSE)</f>
        <v>336.9</v>
      </c>
      <c r="H386" s="306">
        <f t="shared" ref="H386:H393" si="61">INDEX(vector.implicit.prices.broadband.after.discount,MATCH($D386,vector.plans.names,0))</f>
        <v>120</v>
      </c>
      <c r="I386" s="307"/>
      <c r="J386" s="308"/>
      <c r="K386" s="307"/>
      <c r="L386" s="309"/>
      <c r="N386" s="310"/>
      <c r="O386" s="311"/>
      <c r="R386" s="296"/>
    </row>
    <row r="387" spans="3:18" ht="12">
      <c r="C387" s="91">
        <f t="shared" ref="C387:C393" si="62">C386+1</f>
        <v>2</v>
      </c>
      <c r="D387" s="298" t="s">
        <v>197</v>
      </c>
      <c r="E387" s="207">
        <f>LEFT('Planes y paquetes'!O402,FIND(" ",'Planes y paquetes'!O402))*1</f>
        <v>100</v>
      </c>
      <c r="F387" s="207">
        <f>LEFT('Planes y paquetes'!P402,FIND(" ",'Planes y paquetes'!P402))*1</f>
        <v>10</v>
      </c>
      <c r="G387" s="166">
        <f>VLOOKUP(D387,'Planes y paquetes'!$C$384:$G$423,4,FALSE)</f>
        <v>463.55</v>
      </c>
      <c r="H387" s="306">
        <f t="shared" si="61"/>
        <v>281</v>
      </c>
      <c r="I387" s="307"/>
      <c r="J387" s="308"/>
      <c r="K387" s="307"/>
      <c r="L387" s="309"/>
      <c r="N387" s="310"/>
      <c r="O387" s="311"/>
      <c r="R387" s="296"/>
    </row>
    <row r="388" spans="3:18" ht="12">
      <c r="C388" s="91">
        <f t="shared" si="62"/>
        <v>3</v>
      </c>
      <c r="D388" s="162" t="s">
        <v>199</v>
      </c>
      <c r="E388" s="207">
        <f>LEFT('Planes y paquetes'!O403,FIND(" ",'Planes y paquetes'!O403))*1</f>
        <v>200</v>
      </c>
      <c r="F388" s="207">
        <f>LEFT('Planes y paquetes'!P403,FIND(" ",'Planes y paquetes'!P403))*1</f>
        <v>50</v>
      </c>
      <c r="G388" s="166">
        <f>VLOOKUP(D388,'Planes y paquetes'!$C$384:$G$423,4,FALSE)</f>
        <v>547.98</v>
      </c>
      <c r="H388" s="306">
        <f t="shared" si="61"/>
        <v>392</v>
      </c>
      <c r="I388" s="307"/>
      <c r="J388" s="308"/>
      <c r="K388" s="307"/>
      <c r="L388" s="309"/>
      <c r="N388" s="310"/>
      <c r="O388" s="311"/>
      <c r="R388" s="296"/>
    </row>
    <row r="389" spans="3:18" ht="12">
      <c r="C389" s="91">
        <f t="shared" si="62"/>
        <v>4</v>
      </c>
      <c r="D389" s="298" t="s">
        <v>512</v>
      </c>
      <c r="E389" s="207">
        <f>LEFT('Planes y paquetes'!O404,FIND(" ",'Planes y paquetes'!O404))*1</f>
        <v>300</v>
      </c>
      <c r="F389" s="207">
        <f>LEFT('Planes y paquetes'!P404,FIND(" ",'Planes y paquetes'!P404))*1</f>
        <v>50</v>
      </c>
      <c r="G389" s="166">
        <f>VLOOKUP(D389,'Planes y paquetes'!$C$384:$G$423,4,FALSE)</f>
        <v>674.64</v>
      </c>
      <c r="H389" s="306">
        <f t="shared" si="61"/>
        <v>371</v>
      </c>
      <c r="I389" s="307"/>
      <c r="J389" s="308"/>
      <c r="K389" s="307"/>
      <c r="L389" s="309"/>
      <c r="N389" s="310"/>
      <c r="O389" s="311"/>
    </row>
    <row r="390" spans="3:18" ht="12">
      <c r="C390" s="91">
        <f t="shared" si="62"/>
        <v>5</v>
      </c>
      <c r="D390" s="162" t="s">
        <v>203</v>
      </c>
      <c r="E390" s="207">
        <f>LEFT('Planes y paquetes'!O405,FIND(" ",'Planes y paquetes'!O405))*1</f>
        <v>500</v>
      </c>
      <c r="F390" s="207">
        <f>LEFT('Planes y paquetes'!P405,FIND(" ",'Planes y paquetes'!P405))*1</f>
        <v>300</v>
      </c>
      <c r="G390" s="166">
        <f>VLOOKUP(D390,'Planes y paquetes'!$C$384:$G$423,4,FALSE)</f>
        <v>843.5</v>
      </c>
      <c r="H390" s="306">
        <f t="shared" si="61"/>
        <v>583</v>
      </c>
      <c r="I390" s="307"/>
      <c r="J390" s="308"/>
      <c r="K390" s="307"/>
      <c r="L390" s="309"/>
      <c r="N390" s="310"/>
      <c r="O390" s="311"/>
    </row>
    <row r="391" spans="3:18" ht="12">
      <c r="C391" s="91">
        <f t="shared" si="62"/>
        <v>6</v>
      </c>
      <c r="D391" s="312" t="s">
        <v>205</v>
      </c>
      <c r="E391" s="207">
        <f>LEFT('Planes y paquetes'!O406,FIND(" ",'Planes y paquetes'!O406))*1</f>
        <v>750</v>
      </c>
      <c r="F391" s="207">
        <f>LEFT('Planes y paquetes'!P406,FIND(" ",'Planes y paquetes'!P406))*1</f>
        <v>300</v>
      </c>
      <c r="G391" s="166">
        <f>VLOOKUP(D391,'Planes y paquetes'!$C$384:$G$423,4,FALSE)</f>
        <v>1265.6600000000001</v>
      </c>
      <c r="H391" s="306">
        <f t="shared" si="61"/>
        <v>1094</v>
      </c>
      <c r="I391" s="307"/>
      <c r="J391" s="308"/>
      <c r="K391" s="307"/>
      <c r="L391" s="309"/>
      <c r="N391" s="310"/>
      <c r="O391" s="311"/>
      <c r="Q391" s="96"/>
    </row>
    <row r="392" spans="3:18" ht="12">
      <c r="C392" s="91">
        <f t="shared" si="62"/>
        <v>7</v>
      </c>
      <c r="D392" s="312" t="s">
        <v>206</v>
      </c>
      <c r="E392" s="207">
        <f>LEFT('Planes y paquetes'!O407,FIND(" ",'Planes y paquetes'!O407))*1</f>
        <v>750</v>
      </c>
      <c r="F392" s="207">
        <f>LEFT('Planes y paquetes'!P407,FIND(" ",'Planes y paquetes'!P407))*1</f>
        <v>300</v>
      </c>
      <c r="G392" s="166">
        <f>VLOOKUP(D392,'Planes y paquetes'!$C$384:$G$423,4,FALSE)</f>
        <v>1510.52</v>
      </c>
      <c r="H392" s="306">
        <f t="shared" si="61"/>
        <v>1534</v>
      </c>
      <c r="I392" s="307"/>
      <c r="J392" s="308"/>
      <c r="K392" s="307"/>
      <c r="L392" s="309"/>
      <c r="N392" s="310"/>
      <c r="O392" s="311"/>
      <c r="R392" s="313"/>
    </row>
    <row r="393" spans="3:18" ht="12.75" thickBot="1">
      <c r="C393" s="91">
        <f t="shared" si="62"/>
        <v>8</v>
      </c>
      <c r="D393" s="312" t="s">
        <v>207</v>
      </c>
      <c r="E393" s="207">
        <f>LEFT('Planes y paquetes'!O408,FIND(" ",'Planes y paquetes'!O408))*1</f>
        <v>1000</v>
      </c>
      <c r="F393" s="207">
        <f>LEFT('Planes y paquetes'!P408,FIND(" ",'Planes y paquetes'!P408))*1</f>
        <v>300</v>
      </c>
      <c r="G393" s="166">
        <f>VLOOKUP(D393,'Planes y paquetes'!$C$384:$G$423,4,FALSE)</f>
        <v>1932.69</v>
      </c>
      <c r="H393" s="306">
        <f t="shared" si="61"/>
        <v>1931</v>
      </c>
      <c r="I393" s="307"/>
      <c r="J393" s="308"/>
      <c r="K393" s="307"/>
      <c r="L393" s="309"/>
      <c r="N393" s="310"/>
      <c r="O393" s="311"/>
      <c r="R393" s="296"/>
    </row>
    <row r="394" spans="3:18" ht="12">
      <c r="C394" s="50"/>
      <c r="D394" s="314"/>
      <c r="E394" s="50"/>
      <c r="F394" s="314"/>
      <c r="G394" s="314"/>
      <c r="H394" s="315"/>
      <c r="I394" s="315"/>
      <c r="J394" s="315"/>
      <c r="K394" s="315"/>
    </row>
    <row r="395" spans="3:18" ht="12">
      <c r="C395" s="96" t="s">
        <v>513</v>
      </c>
    </row>
    <row r="396" spans="3:18" ht="38.1" customHeight="1">
      <c r="D396" s="40" t="s">
        <v>317</v>
      </c>
      <c r="E396" s="40" t="s">
        <v>215</v>
      </c>
      <c r="F396" s="216" t="s">
        <v>496</v>
      </c>
      <c r="G396" s="40" t="s">
        <v>514</v>
      </c>
      <c r="H396" s="316"/>
      <c r="I396" s="40" t="s">
        <v>515</v>
      </c>
      <c r="J396" s="40" t="s">
        <v>516</v>
      </c>
      <c r="L396" s="521" t="s">
        <v>517</v>
      </c>
      <c r="M396" s="521"/>
      <c r="N396" s="521"/>
      <c r="O396" s="521"/>
    </row>
    <row r="397" spans="3:18" ht="12">
      <c r="C397" s="95">
        <v>1</v>
      </c>
      <c r="D397" s="317" t="s">
        <v>518</v>
      </c>
      <c r="E397" t="s">
        <v>519</v>
      </c>
      <c r="F397" s="318">
        <f t="shared" ref="F397:F404" si="63">E375</f>
        <v>60</v>
      </c>
      <c r="G397" s="319">
        <f t="shared" ref="G397:G404" si="64">F375/H386</f>
        <v>1.43675</v>
      </c>
      <c r="H397" s="320"/>
      <c r="I397" s="321">
        <f t="shared" ref="I397:I404" si="65">VLOOKUP(F397,$D$196:$G$207,4,FALSE)</f>
        <v>242.13212840623424</v>
      </c>
      <c r="J397" s="322">
        <f t="shared" ref="J397:J404" si="66">I397*(1+G397)</f>
        <v>590.01546389389125</v>
      </c>
      <c r="K397" s="228"/>
      <c r="L397" t="s">
        <v>520</v>
      </c>
      <c r="M397" s="228">
        <f>INDEX(LINEST(LN($J$397:$J$404),LN($F$397:$F$404)),1)</f>
        <v>0.20299368853239869</v>
      </c>
    </row>
    <row r="398" spans="3:18" ht="12">
      <c r="C398" s="91">
        <f>C397+1</f>
        <v>2</v>
      </c>
      <c r="D398" s="317" t="s">
        <v>521</v>
      </c>
      <c r="E398" t="s">
        <v>522</v>
      </c>
      <c r="F398" s="318">
        <f t="shared" si="63"/>
        <v>100</v>
      </c>
      <c r="G398" s="319">
        <f t="shared" si="64"/>
        <v>0.76697508896797162</v>
      </c>
      <c r="H398" s="320"/>
      <c r="I398" s="321">
        <f t="shared" si="65"/>
        <v>304.86883059925088</v>
      </c>
      <c r="J398" s="322">
        <f t="shared" si="66"/>
        <v>538.69562907167278</v>
      </c>
      <c r="K398" s="228"/>
      <c r="L398" t="s">
        <v>523</v>
      </c>
      <c r="M398" s="228">
        <f>INDEX(LINEST(LN($J$397:$J$404),LN($F$397:$F$404)),2)</f>
        <v>5.473031485802359</v>
      </c>
    </row>
    <row r="399" spans="3:18" ht="12">
      <c r="C399" s="91">
        <f t="shared" ref="C399:C404" si="67">C398+1</f>
        <v>3</v>
      </c>
      <c r="D399" s="162" t="s">
        <v>199</v>
      </c>
      <c r="F399" s="318">
        <f t="shared" si="63"/>
        <v>200</v>
      </c>
      <c r="G399" s="319">
        <f t="shared" si="64"/>
        <v>0.61576530612244895</v>
      </c>
      <c r="H399" s="320"/>
      <c r="I399" s="321">
        <f t="shared" si="65"/>
        <v>420.55448191597702</v>
      </c>
      <c r="J399" s="322">
        <f t="shared" si="66"/>
        <v>679.51734121413654</v>
      </c>
      <c r="K399" s="228"/>
      <c r="M399" s="228"/>
    </row>
    <row r="400" spans="3:18" ht="12">
      <c r="C400" s="91">
        <f t="shared" si="67"/>
        <v>4</v>
      </c>
      <c r="D400" s="317" t="s">
        <v>524</v>
      </c>
      <c r="E400" t="s">
        <v>525</v>
      </c>
      <c r="F400" s="318">
        <f t="shared" si="63"/>
        <v>300</v>
      </c>
      <c r="G400" s="319">
        <f t="shared" si="64"/>
        <v>0.69711590296495951</v>
      </c>
      <c r="H400" s="320"/>
      <c r="I400" s="321">
        <f t="shared" si="65"/>
        <v>481.14762455007445</v>
      </c>
      <c r="J400" s="322">
        <f t="shared" si="66"/>
        <v>816.56328529774487</v>
      </c>
      <c r="K400" s="228"/>
    </row>
    <row r="401" spans="1:38" ht="12">
      <c r="C401" s="91">
        <f t="shared" si="67"/>
        <v>5</v>
      </c>
      <c r="D401" s="162" t="s">
        <v>203</v>
      </c>
      <c r="F401" s="318">
        <f t="shared" si="63"/>
        <v>500</v>
      </c>
      <c r="G401" s="319">
        <f t="shared" si="64"/>
        <v>0.51753001715265867</v>
      </c>
      <c r="H401" s="320"/>
      <c r="I401" s="321">
        <f t="shared" si="65"/>
        <v>594.47151874893211</v>
      </c>
      <c r="J401" s="322">
        <f t="shared" si="66"/>
        <v>902.12837404383401</v>
      </c>
      <c r="K401" s="228"/>
    </row>
    <row r="402" spans="1:38" ht="12">
      <c r="C402" s="91">
        <f t="shared" si="67"/>
        <v>6</v>
      </c>
      <c r="D402" s="317" t="s">
        <v>526</v>
      </c>
      <c r="E402" t="s">
        <v>527</v>
      </c>
      <c r="F402" s="318">
        <f t="shared" si="63"/>
        <v>750</v>
      </c>
      <c r="G402" s="319">
        <f t="shared" si="64"/>
        <v>0.31520109689213893</v>
      </c>
      <c r="H402" s="320"/>
      <c r="I402" s="321">
        <f t="shared" si="65"/>
        <v>669.60507628237576</v>
      </c>
      <c r="J402" s="322">
        <f t="shared" si="66"/>
        <v>880.66533081112493</v>
      </c>
      <c r="K402" s="228"/>
      <c r="M402" s="323"/>
      <c r="N402" s="324"/>
    </row>
    <row r="403" spans="1:38" ht="12">
      <c r="C403" s="91">
        <f t="shared" si="67"/>
        <v>7</v>
      </c>
      <c r="D403" s="317" t="s">
        <v>528</v>
      </c>
      <c r="E403" t="s">
        <v>529</v>
      </c>
      <c r="F403" s="318">
        <f t="shared" si="63"/>
        <v>750</v>
      </c>
      <c r="G403" s="319">
        <f t="shared" si="64"/>
        <v>0.25289439374185135</v>
      </c>
      <c r="H403" s="320"/>
      <c r="I403" s="321">
        <f t="shared" si="65"/>
        <v>669.60507628237576</v>
      </c>
      <c r="J403" s="322">
        <f t="shared" si="66"/>
        <v>838.94444609527329</v>
      </c>
      <c r="K403" s="228"/>
      <c r="L403" s="521" t="s">
        <v>530</v>
      </c>
      <c r="M403" s="521"/>
      <c r="N403" s="521"/>
      <c r="O403" s="521"/>
    </row>
    <row r="404" spans="1:38" ht="12">
      <c r="C404" s="91">
        <f t="shared" si="67"/>
        <v>8</v>
      </c>
      <c r="D404" s="317" t="s">
        <v>531</v>
      </c>
      <c r="E404" t="s">
        <v>532</v>
      </c>
      <c r="F404" s="318">
        <f t="shared" si="63"/>
        <v>1000</v>
      </c>
      <c r="G404" s="319">
        <f t="shared" si="64"/>
        <v>0.22321595028482649</v>
      </c>
      <c r="H404" s="320"/>
      <c r="I404" s="321">
        <f t="shared" si="65"/>
        <v>828.92472884185179</v>
      </c>
      <c r="J404" s="322">
        <f t="shared" si="66"/>
        <v>1013.953949904878</v>
      </c>
      <c r="K404" s="228"/>
      <c r="L404" t="s">
        <v>520</v>
      </c>
      <c r="M404" s="325">
        <f>M397</f>
        <v>0.20299368853239869</v>
      </c>
      <c r="N404" s="324"/>
    </row>
    <row r="405" spans="1:38" ht="12">
      <c r="C405" s="211"/>
      <c r="D405" s="315"/>
      <c r="E405" s="211"/>
      <c r="F405" s="315"/>
      <c r="G405" s="315"/>
      <c r="H405" s="315"/>
      <c r="I405" s="315"/>
      <c r="J405" s="315"/>
      <c r="K405" s="315"/>
      <c r="L405" t="s">
        <v>533</v>
      </c>
      <c r="M405" s="326">
        <f>EXP(M398)</f>
        <v>238.18114218599911</v>
      </c>
    </row>
    <row r="406" spans="1:38" ht="12">
      <c r="A406" s="94" t="s">
        <v>366</v>
      </c>
      <c r="B406" s="94" t="s">
        <v>300</v>
      </c>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row>
  </sheetData>
  <mergeCells count="7">
    <mergeCell ref="L396:O396"/>
    <mergeCell ref="L403:O403"/>
    <mergeCell ref="G230:H230"/>
    <mergeCell ref="I250:J250"/>
    <mergeCell ref="I194:P194"/>
    <mergeCell ref="P259:Q259"/>
    <mergeCell ref="S259:T259"/>
  </mergeCells>
  <conditionalFormatting sqref="Q134:AL167">
    <cfRule type="colorScale" priority="1">
      <colorScale>
        <cfvo type="min"/>
        <cfvo type="max"/>
        <color rgb="FFFCFCFF"/>
        <color rgb="FF63BE7B"/>
      </colorScale>
    </cfRule>
  </conditionalFormatting>
  <conditionalFormatting sqref="AJ161:AK167 Q161:V167 X161:AF167">
    <cfRule type="colorScale" priority="2">
      <colorScale>
        <cfvo type="min"/>
        <cfvo type="max"/>
        <color rgb="FFFCFCFF"/>
        <color rgb="FF63BE7B"/>
      </colorScale>
    </cfRule>
  </conditionalFormatting>
  <hyperlinks>
    <hyperlink ref="H383" r:id="rId1" display="https://telmex.com/web/negocios/velocidades-simetricas" xr:uid="{286D9C2F-5761-4AAB-808F-DA16B871582D}"/>
    <hyperlink ref="K6" r:id="rId2" xr:uid="{6AA601B9-9D0B-4EBF-8B51-4787F6B73F3C}"/>
  </hyperlinks>
  <pageMargins left="0.7" right="0.7" top="0.75" bottom="0.75" header="0.3" footer="0.3"/>
  <pageSetup orientation="portrait" r:id="rId3"/>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AEA78-C41B-42F3-935E-93809507007D}">
  <dimension ref="A1:AW76"/>
  <sheetViews>
    <sheetView showGridLines="0" zoomScale="85" zoomScaleNormal="85" workbookViewId="0">
      <pane xSplit="8" ySplit="3" topLeftCell="I4" activePane="bottomRight" state="frozen"/>
      <selection activeCell="D111" sqref="D111"/>
      <selection pane="topRight" activeCell="D111" sqref="D111"/>
      <selection pane="bottomLeft" activeCell="D111" sqref="D111"/>
      <selection pane="bottomRight" sqref="A1:XFD1048576"/>
    </sheetView>
  </sheetViews>
  <sheetFormatPr baseColWidth="10" defaultRowHeight="11.45" customHeight="1" outlineLevelRow="1"/>
  <cols>
    <col min="1" max="1" width="3" bestFit="1" customWidth="1"/>
    <col min="2" max="2" width="4.85546875" customWidth="1"/>
    <col min="3" max="3" width="11.140625" customWidth="1"/>
    <col min="4" max="4" width="4.140625" customWidth="1"/>
    <col min="5" max="5" width="7.85546875" customWidth="1"/>
    <col min="6" max="6" width="6.42578125" customWidth="1"/>
    <col min="7" max="7" width="45.85546875" bestFit="1" customWidth="1"/>
    <col min="8" max="8" width="26.85546875" customWidth="1"/>
    <col min="9" max="44" width="22.140625" customWidth="1"/>
    <col min="45" max="45" width="16.7109375" customWidth="1"/>
    <col min="46" max="46" width="12" bestFit="1" customWidth="1"/>
    <col min="47" max="47" width="11.85546875" bestFit="1" customWidth="1"/>
    <col min="48" max="48" width="22.7109375" customWidth="1"/>
    <col min="49" max="49" width="18.140625" customWidth="1"/>
  </cols>
  <sheetData>
    <row r="1" spans="1:49" ht="27.75">
      <c r="A1" s="84"/>
      <c r="B1" s="84"/>
      <c r="C1" s="84"/>
      <c r="D1" s="84" t="s">
        <v>534</v>
      </c>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row>
    <row r="2" spans="1:49" ht="9" customHeight="1" outlineLevel="1">
      <c r="A2" s="127"/>
      <c r="B2" s="128"/>
      <c r="C2" s="128"/>
      <c r="D2" s="128"/>
      <c r="E2" s="128"/>
      <c r="F2" s="128"/>
      <c r="G2" s="128"/>
      <c r="H2" s="327"/>
      <c r="I2" s="328"/>
      <c r="J2" s="328"/>
      <c r="K2" s="328"/>
      <c r="L2" s="328"/>
      <c r="M2" s="328"/>
      <c r="N2" s="328"/>
      <c r="O2" s="328"/>
      <c r="P2" s="327"/>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spans="1:49" ht="36.6" customHeight="1">
      <c r="A3" s="40"/>
      <c r="B3" s="40"/>
      <c r="C3" s="40" t="s">
        <v>212</v>
      </c>
      <c r="D3" s="40"/>
      <c r="E3" s="40"/>
      <c r="F3" s="40"/>
      <c r="G3" s="40" t="s">
        <v>213</v>
      </c>
      <c r="H3" s="329"/>
      <c r="I3" s="329" t="str">
        <f t="array" ref="I3:AR3">TRANSPOSE(vector.plans.names)</f>
        <v>Renta Mensual de la Línea Residencial</v>
      </c>
      <c r="J3" s="329" t="str">
        <v>Renta Mensual de la Línea Comercial</v>
      </c>
      <c r="K3" s="329" t="str">
        <v>Paquete 249</v>
      </c>
      <c r="L3" s="329" t="str">
        <v>Paquete 289</v>
      </c>
      <c r="M3" s="329" t="str">
        <v>Paquete 333</v>
      </c>
      <c r="N3" s="329" t="str">
        <v>Paquete 389</v>
      </c>
      <c r="O3" s="329" t="str">
        <v>Paquete 435</v>
      </c>
      <c r="P3" s="329" t="str">
        <v>Paquete 499</v>
      </c>
      <c r="Q3" s="329" t="str">
        <v>Paquete 599</v>
      </c>
      <c r="R3" s="329" t="str">
        <v>Paquete 649</v>
      </c>
      <c r="S3" s="329" t="str">
        <v>Paquete Infinitum 999</v>
      </c>
      <c r="T3" s="329" t="str">
        <v>Paquete 1399</v>
      </c>
      <c r="U3" s="329" t="str">
        <v>Infinitum 279</v>
      </c>
      <c r="V3" s="329" t="str">
        <v>Infinitum 299 R</v>
      </c>
      <c r="W3" s="329" t="str">
        <v>Infinitum 349</v>
      </c>
      <c r="X3" s="329" t="str">
        <v>Infinitum 399</v>
      </c>
      <c r="Y3" s="329" t="str">
        <v>Infinitum 449</v>
      </c>
      <c r="Z3" s="329" t="str">
        <v>Infinitum 549</v>
      </c>
      <c r="AA3" s="329" t="str">
        <v>Infinitum 899</v>
      </c>
      <c r="AB3" s="329" t="str">
        <v>Paquete Conectes Negocio</v>
      </c>
      <c r="AC3" s="329" t="str">
        <v>Paquete Mi Negocio</v>
      </c>
      <c r="AD3" s="329" t="str">
        <v>Paquete Negocio 649</v>
      </c>
      <c r="AE3" s="329" t="str">
        <v>Paquete Supernegocio</v>
      </c>
      <c r="AF3" s="329" t="str">
        <v>Paquete Negocio 999</v>
      </c>
      <c r="AG3" s="329" t="str">
        <v>Paquete Telmex Negocio Ilimitado 1</v>
      </c>
      <c r="AH3" s="329" t="str">
        <v>Paquete Telmex Negocio Ilimitado 2</v>
      </c>
      <c r="AI3" s="329" t="str">
        <v>Paquete Telmex Negocio Ilimitado 3</v>
      </c>
      <c r="AJ3" s="329" t="str">
        <v>Infinitum 299 N</v>
      </c>
      <c r="AK3" s="329" t="str">
        <v>Infinitum Negocio 349</v>
      </c>
      <c r="AL3" s="329" t="str">
        <v>Infinitum Negocio 399</v>
      </c>
      <c r="AM3" s="329" t="str">
        <v>Infinitum Negocio 449</v>
      </c>
      <c r="AN3" s="329" t="str">
        <v>Infinitum Negocio 549</v>
      </c>
      <c r="AO3" s="329" t="str">
        <v>Infinitum Negocio 899</v>
      </c>
      <c r="AP3" s="329" t="str">
        <v>Infinitum Negocio</v>
      </c>
      <c r="AQ3" s="329" t="str">
        <v>Infinitum Negocio Red</v>
      </c>
      <c r="AR3" s="329" t="str">
        <v>Infinitum Negocio Premium</v>
      </c>
      <c r="AV3" s="40" t="s">
        <v>535</v>
      </c>
      <c r="AW3" s="40" t="s">
        <v>215</v>
      </c>
    </row>
    <row r="4" spans="1:49" ht="12">
      <c r="A4" s="94">
        <v>1</v>
      </c>
      <c r="B4" s="94" t="s">
        <v>536</v>
      </c>
      <c r="C4" s="94"/>
      <c r="D4" s="73"/>
      <c r="E4" s="73"/>
      <c r="F4" s="73"/>
      <c r="G4" s="330" t="s">
        <v>213</v>
      </c>
      <c r="H4" s="73"/>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row>
    <row r="5" spans="1:49" ht="12">
      <c r="C5" s="96" t="s">
        <v>475</v>
      </c>
      <c r="G5" s="16" t="s">
        <v>537</v>
      </c>
      <c r="H5" t="s">
        <v>538</v>
      </c>
      <c r="I5" s="92" t="str">
        <f>IFERROR(VLOOKUP(I$3,'Planes y paquetes'!$C$195:$J$196,3,FALSE),"")</f>
        <v>Telefonía fija</v>
      </c>
      <c r="J5" s="92" t="str">
        <f>IFERROR(VLOOKUP(J$3,'Planes y paquetes'!$C$195:$J$196,3,FALSE),"")</f>
        <v>Telefonía fija</v>
      </c>
      <c r="K5" s="92" t="str">
        <f>IFERROR(VLOOKUP(K$3,'Planes y paquetes'!$C$384:$BW$417,3,FALSE),"")</f>
        <v>Telefonía fija + Internet fijo</v>
      </c>
      <c r="L5" s="92" t="str">
        <f>IFERROR(VLOOKUP(L$3,'Planes y paquetes'!$C$384:$BW$417,3,FALSE),"")</f>
        <v>Telefonía fija + Internet fijo</v>
      </c>
      <c r="M5" s="92" t="str">
        <f>IFERROR(VLOOKUP(M$3,'Planes y paquetes'!$C$384:$BW$417,3,FALSE),"")</f>
        <v>Telefonía fija + Internet fijo</v>
      </c>
      <c r="N5" s="92" t="str">
        <f>IFERROR(VLOOKUP(N$3,'Planes y paquetes'!$C$384:$BW$417,3,FALSE),"")</f>
        <v>Telefonía fija + Internet fijo</v>
      </c>
      <c r="O5" s="92" t="str">
        <f>IFERROR(VLOOKUP(O$3,'Planes y paquetes'!$C$384:$BW$417,3,FALSE),"")</f>
        <v>Telefonía fija + Internet fijo</v>
      </c>
      <c r="P5" s="92" t="str">
        <f>IFERROR(VLOOKUP(P$3,'Planes y paquetes'!$C$384:$BW$417,3,FALSE),"")</f>
        <v>Telefonía fija + Internet fijo</v>
      </c>
      <c r="Q5" s="92" t="str">
        <f>IFERROR(VLOOKUP(Q$3,'Planes y paquetes'!$C$384:$BW$417,3,FALSE),"")</f>
        <v>Telefonía fija + Internet fijo</v>
      </c>
      <c r="R5" s="92" t="str">
        <f>IFERROR(VLOOKUP(R$3,'Planes y paquetes'!$C$384:$BW$417,3,FALSE),"")</f>
        <v>Telefonía fija + Internet fijo</v>
      </c>
      <c r="S5" s="92" t="str">
        <f>IFERROR(VLOOKUP(S$3,'Planes y paquetes'!$C$384:$BW$417,3,FALSE),"")</f>
        <v>Telefonía fija + Internet fijo</v>
      </c>
      <c r="T5" s="92" t="str">
        <f>IFERROR(VLOOKUP(T$3,'Planes y paquetes'!$C$384:$BW$417,3,FALSE),"")</f>
        <v>Telefonía fija + Internet fijo</v>
      </c>
      <c r="U5" s="92" t="str">
        <f>IFERROR(VLOOKUP(U$3,'Planes y paquetes'!$C$384:$BW$417,3,FALSE),"")</f>
        <v>Internet fijo</v>
      </c>
      <c r="V5" s="92" t="str">
        <f>IFERROR(VLOOKUP(V$3,'Planes y paquetes'!$C$384:$BW$417,3,FALSE),"")</f>
        <v>Internet fijo</v>
      </c>
      <c r="W5" s="92" t="str">
        <f>IFERROR(VLOOKUP(W$3,'Planes y paquetes'!$C$384:$BW$417,3,FALSE),"")</f>
        <v>Internet fijo</v>
      </c>
      <c r="X5" s="92" t="str">
        <f>IFERROR(VLOOKUP(X$3,'Planes y paquetes'!$C$384:$BW$417,3,FALSE),"")</f>
        <v>Internet fijo</v>
      </c>
      <c r="Y5" s="92" t="str">
        <f>IFERROR(VLOOKUP(Y$3,'Planes y paquetes'!$C$384:$BW$417,3,FALSE),"")</f>
        <v>Internet fijo</v>
      </c>
      <c r="Z5" s="92" t="str">
        <f>IFERROR(VLOOKUP(Z$3,'Planes y paquetes'!$C$384:$BW$417,3,FALSE),"")</f>
        <v>Internet fijo</v>
      </c>
      <c r="AA5" s="92" t="str">
        <f>IFERROR(VLOOKUP(AA$3,'Planes y paquetes'!$C$384:$BW$417,3,FALSE),"")</f>
        <v>Internet fijo</v>
      </c>
      <c r="AB5" s="92" t="str">
        <f>IFERROR(VLOOKUP(AB$3,'Planes y paquetes'!$C$384:$BW$417,3,FALSE),"")</f>
        <v>Telefonía fija + Internet fijo</v>
      </c>
      <c r="AC5" s="92" t="str">
        <f>IFERROR(VLOOKUP(AC$3,'Planes y paquetes'!$C$384:$BW$417,3,FALSE),"")</f>
        <v>Telefonía fija + Internet fijo</v>
      </c>
      <c r="AD5" s="92" t="str">
        <f>IFERROR(VLOOKUP(AD$3,'Planes y paquetes'!$C$384:$BW$417,3,FALSE),"")</f>
        <v>Telefonía fija + Internet fijo</v>
      </c>
      <c r="AE5" s="92" t="str">
        <f>IFERROR(VLOOKUP(AE$3,'Planes y paquetes'!$C$384:$BW$417,3,FALSE),"")</f>
        <v>Telefonía fija + Internet fijo</v>
      </c>
      <c r="AF5" s="92" t="str">
        <f>IFERROR(VLOOKUP(AF$3,'Planes y paquetes'!$C$384:$BW$417,3,FALSE),"")</f>
        <v>Telefonía fija + Internet fijo</v>
      </c>
      <c r="AG5" s="92" t="str">
        <f>IFERROR(VLOOKUP(AG$3,'Planes y paquetes'!$C$384:$BW$417,3,FALSE),"")</f>
        <v>Telefonía fija + Internet fijo</v>
      </c>
      <c r="AH5" s="92" t="str">
        <f>IFERROR(VLOOKUP(AH$3,'Planes y paquetes'!$C$384:$BW$417,3,FALSE),"")</f>
        <v>Telefonía fija + Internet fijo</v>
      </c>
      <c r="AI5" s="92" t="str">
        <f>IFERROR(VLOOKUP(AI$3,'Planes y paquetes'!$C$384:$BW$417,3,FALSE),"")</f>
        <v>Telefonía fija + Internet fijo</v>
      </c>
      <c r="AJ5" s="92" t="str">
        <f>IFERROR(VLOOKUP(AJ$3,'Planes y paquetes'!$C$384:$BW$417,3,FALSE),"")</f>
        <v>Internet fijo</v>
      </c>
      <c r="AK5" s="92" t="str">
        <f>IFERROR(VLOOKUP(AK$3,'Planes y paquetes'!$C$384:$BW$417,3,FALSE),"")</f>
        <v>Internet fijo</v>
      </c>
      <c r="AL5" s="92" t="str">
        <f>IFERROR(VLOOKUP(AL$3,'Planes y paquetes'!$C$384:$BW$417,3,FALSE),"")</f>
        <v>Internet fijo</v>
      </c>
      <c r="AM5" s="92" t="str">
        <f>IFERROR(VLOOKUP(AM$3,'Planes y paquetes'!$C$384:$BW$417,3,FALSE),"")</f>
        <v>Internet fijo</v>
      </c>
      <c r="AN5" s="92" t="str">
        <f>IFERROR(VLOOKUP(AN$3,'Planes y paquetes'!$C$384:$BW$417,3,FALSE),"")</f>
        <v>Internet fijo</v>
      </c>
      <c r="AO5" s="92" t="str">
        <f>IFERROR(VLOOKUP(AO$3,'Planes y paquetes'!$C$384:$BW$417,3,FALSE),"")</f>
        <v>Internet fijo</v>
      </c>
      <c r="AP5" s="92" t="str">
        <f>IFERROR(VLOOKUP(AP$3,'Planes y paquetes'!$C$384:$BW$417,3,FALSE),"")</f>
        <v>Internet fijo</v>
      </c>
      <c r="AQ5" s="92" t="str">
        <f>IFERROR(VLOOKUP(AQ$3,'Planes y paquetes'!$C$384:$BW$417,3,FALSE),"")</f>
        <v>Internet fijo</v>
      </c>
      <c r="AR5" s="92" t="str">
        <f>IFERROR(VLOOKUP(AR$3,'Planes y paquetes'!$C$384:$BW$417,3,FALSE),"")</f>
        <v>Internet fijo</v>
      </c>
    </row>
    <row r="6" spans="1:49" ht="12"/>
    <row r="7" spans="1:49" ht="12">
      <c r="C7" s="96" t="s">
        <v>539</v>
      </c>
      <c r="G7" s="16" t="s">
        <v>540</v>
      </c>
      <c r="H7" t="s">
        <v>538</v>
      </c>
      <c r="I7" s="92" t="str">
        <f>IFERROR(VLOOKUP(I$3,'Planes y paquetes'!$C$195:$J$196,2,FALSE),"")</f>
        <v>Residencial</v>
      </c>
      <c r="J7" s="92" t="str">
        <f>IFERROR(VLOOKUP(J$3,'Planes y paquetes'!$C$195:$J$196,2,FALSE),"")</f>
        <v>No Residencial</v>
      </c>
      <c r="K7" s="92" t="str">
        <f>IFERROR(VLOOKUP(K$3,'Planes y paquetes'!$C$384:$BW$417,2,FALSE),"")</f>
        <v>Residencial</v>
      </c>
      <c r="L7" s="92" t="str">
        <f>IFERROR(VLOOKUP(L$3,'Planes y paquetes'!$C$384:$BW$417,2,FALSE),"")</f>
        <v>Residencial</v>
      </c>
      <c r="M7" s="92" t="str">
        <f>IFERROR(VLOOKUP(M$3,'Planes y paquetes'!$C$384:$BW$417,2,FALSE),"")</f>
        <v>Residencial</v>
      </c>
      <c r="N7" s="92" t="str">
        <f>IFERROR(VLOOKUP(N$3,'Planes y paquetes'!$C$384:$BW$417,2,FALSE),"")</f>
        <v>Residencial</v>
      </c>
      <c r="O7" s="92" t="str">
        <f>IFERROR(VLOOKUP(O$3,'Planes y paquetes'!$C$384:$BW$417,2,FALSE),"")</f>
        <v>Residencial</v>
      </c>
      <c r="P7" s="92" t="str">
        <f>IFERROR(VLOOKUP(P$3,'Planes y paquetes'!$C$384:$BW$417,2,FALSE),"")</f>
        <v>Residencial</v>
      </c>
      <c r="Q7" s="92" t="str">
        <f>IFERROR(VLOOKUP(Q$3,'Planes y paquetes'!$C$384:$BW$417,2,FALSE),"")</f>
        <v>Residencial</v>
      </c>
      <c r="R7" s="92" t="str">
        <f>IFERROR(VLOOKUP(R$3,'Planes y paquetes'!$C$384:$BW$417,2,FALSE),"")</f>
        <v>Residencial</v>
      </c>
      <c r="S7" s="92" t="str">
        <f>IFERROR(VLOOKUP(S$3,'Planes y paquetes'!$C$384:$BW$417,2,FALSE),"")</f>
        <v>Residencial</v>
      </c>
      <c r="T7" s="92" t="str">
        <f>IFERROR(VLOOKUP(T$3,'Planes y paquetes'!$C$384:$BW$417,2,FALSE),"")</f>
        <v>Residencial</v>
      </c>
      <c r="U7" s="92" t="str">
        <f>IFERROR(VLOOKUP(U$3,'Planes y paquetes'!$C$384:$BW$417,2,FALSE),"")</f>
        <v>Residencial</v>
      </c>
      <c r="V7" s="92" t="str">
        <f>IFERROR(VLOOKUP(V$3,'Planes y paquetes'!$C$384:$BW$417,2,FALSE),"")</f>
        <v>Residencial</v>
      </c>
      <c r="W7" s="92" t="str">
        <f>IFERROR(VLOOKUP(W$3,'Planes y paquetes'!$C$384:$BW$417,2,FALSE),"")</f>
        <v>Residencial</v>
      </c>
      <c r="X7" s="92" t="str">
        <f>IFERROR(VLOOKUP(X$3,'Planes y paquetes'!$C$384:$BW$417,2,FALSE),"")</f>
        <v>Residencial</v>
      </c>
      <c r="Y7" s="92" t="str">
        <f>IFERROR(VLOOKUP(Y$3,'Planes y paquetes'!$C$384:$BW$417,2,FALSE),"")</f>
        <v>Residencial</v>
      </c>
      <c r="Z7" s="92" t="str">
        <f>IFERROR(VLOOKUP(Z$3,'Planes y paquetes'!$C$384:$BW$417,2,FALSE),"")</f>
        <v>Residencial</v>
      </c>
      <c r="AA7" s="92" t="str">
        <f>IFERROR(VLOOKUP(AA$3,'Planes y paquetes'!$C$384:$BW$417,2,FALSE),"")</f>
        <v>Residencial</v>
      </c>
      <c r="AB7" s="92" t="str">
        <f>IFERROR(VLOOKUP(AB$3,'Planes y paquetes'!$C$384:$BW$417,2,FALSE),"")</f>
        <v>No Residencial</v>
      </c>
      <c r="AC7" s="92" t="str">
        <f>IFERROR(VLOOKUP(AC$3,'Planes y paquetes'!$C$384:$BW$417,2,FALSE),"")</f>
        <v>No Residencial</v>
      </c>
      <c r="AD7" s="92" t="str">
        <f>IFERROR(VLOOKUP(AD$3,'Planes y paquetes'!$C$384:$BW$417,2,FALSE),"")</f>
        <v>No Residencial</v>
      </c>
      <c r="AE7" s="92" t="str">
        <f>IFERROR(VLOOKUP(AE$3,'Planes y paquetes'!$C$384:$BW$417,2,FALSE),"")</f>
        <v>No Residencial</v>
      </c>
      <c r="AF7" s="92" t="str">
        <f>IFERROR(VLOOKUP(AF$3,'Planes y paquetes'!$C$384:$BW$417,2,FALSE),"")</f>
        <v>No Residencial</v>
      </c>
      <c r="AG7" s="92" t="str">
        <f>IFERROR(VLOOKUP(AG$3,'Planes y paquetes'!$C$384:$BW$417,2,FALSE),"")</f>
        <v>No Residencial</v>
      </c>
      <c r="AH7" s="92" t="str">
        <f>IFERROR(VLOOKUP(AH$3,'Planes y paquetes'!$C$384:$BW$417,2,FALSE),"")</f>
        <v>No Residencial</v>
      </c>
      <c r="AI7" s="92" t="str">
        <f>IFERROR(VLOOKUP(AI$3,'Planes y paquetes'!$C$384:$BW$417,2,FALSE),"")</f>
        <v>No Residencial</v>
      </c>
      <c r="AJ7" s="92" t="str">
        <f>IFERROR(VLOOKUP(AJ$3,'Planes y paquetes'!$C$384:$BW$417,2,FALSE),"")</f>
        <v>No Residencial</v>
      </c>
      <c r="AK7" s="92" t="str">
        <f>IFERROR(VLOOKUP(AK$3,'Planes y paquetes'!$C$384:$BW$417,2,FALSE),"")</f>
        <v>No Residencial</v>
      </c>
      <c r="AL7" s="92" t="str">
        <f>IFERROR(VLOOKUP(AL$3,'Planes y paquetes'!$C$384:$BW$417,2,FALSE),"")</f>
        <v>No Residencial</v>
      </c>
      <c r="AM7" s="92" t="str">
        <f>IFERROR(VLOOKUP(AM$3,'Planes y paquetes'!$C$384:$BW$417,2,FALSE),"")</f>
        <v>No Residencial</v>
      </c>
      <c r="AN7" s="92" t="str">
        <f>IFERROR(VLOOKUP(AN$3,'Planes y paquetes'!$C$384:$BW$417,2,FALSE),"")</f>
        <v>No Residencial</v>
      </c>
      <c r="AO7" s="92" t="str">
        <f>IFERROR(VLOOKUP(AO$3,'Planes y paquetes'!$C$384:$BW$417,2,FALSE),"")</f>
        <v>No Residencial</v>
      </c>
      <c r="AP7" s="92" t="str">
        <f>IFERROR(VLOOKUP(AP$3,'Planes y paquetes'!$C$384:$BW$417,2,FALSE),"")</f>
        <v>No Residencial</v>
      </c>
      <c r="AQ7" s="92" t="str">
        <f>IFERROR(VLOOKUP(AQ$3,'Planes y paquetes'!$C$384:$BW$417,2,FALSE),"")</f>
        <v>No Residencial</v>
      </c>
      <c r="AR7" s="92" t="str">
        <f>IFERROR(VLOOKUP(AR$3,'Planes y paquetes'!$C$384:$BW$417,2,FALSE),"")</f>
        <v>No Residencial</v>
      </c>
    </row>
    <row r="8" spans="1:49" ht="12">
      <c r="I8" s="142" t="str">
        <f t="shared" ref="I8:P8" si="0">I3&amp;I7</f>
        <v>Renta Mensual de la Línea ResidencialResidencial</v>
      </c>
      <c r="J8" s="142" t="str">
        <f t="shared" si="0"/>
        <v>Renta Mensual de la Línea ComercialNo Residencial</v>
      </c>
      <c r="K8" s="142" t="str">
        <f t="shared" si="0"/>
        <v>Paquete 249Residencial</v>
      </c>
      <c r="L8" s="142" t="str">
        <f t="shared" si="0"/>
        <v>Paquete 289Residencial</v>
      </c>
      <c r="M8" s="142" t="str">
        <f t="shared" si="0"/>
        <v>Paquete 333Residencial</v>
      </c>
      <c r="N8" s="142" t="str">
        <f t="shared" si="0"/>
        <v>Paquete 389Residencial</v>
      </c>
      <c r="O8" s="142" t="str">
        <f t="shared" si="0"/>
        <v>Paquete 435Residencial</v>
      </c>
      <c r="P8" s="142" t="str">
        <f t="shared" si="0"/>
        <v>Paquete 499Residencial</v>
      </c>
      <c r="Q8" s="142" t="str">
        <f>Q3&amp;Q7</f>
        <v>Paquete 599Residencial</v>
      </c>
      <c r="R8" s="142" t="str">
        <f t="shared" ref="R8:AR8" si="1">R3&amp;R7</f>
        <v>Paquete 649Residencial</v>
      </c>
      <c r="S8" s="142" t="str">
        <f t="shared" si="1"/>
        <v>Paquete Infinitum 999Residencial</v>
      </c>
      <c r="T8" s="142" t="str">
        <f t="shared" si="1"/>
        <v>Paquete 1399Residencial</v>
      </c>
      <c r="U8" s="142" t="str">
        <f t="shared" si="1"/>
        <v>Infinitum 279Residencial</v>
      </c>
      <c r="V8" s="142" t="str">
        <f t="shared" si="1"/>
        <v>Infinitum 299 RResidencial</v>
      </c>
      <c r="W8" s="142" t="str">
        <f t="shared" si="1"/>
        <v>Infinitum 349Residencial</v>
      </c>
      <c r="X8" s="142" t="str">
        <f t="shared" si="1"/>
        <v>Infinitum 399Residencial</v>
      </c>
      <c r="Y8" s="142" t="str">
        <f t="shared" si="1"/>
        <v>Infinitum 449Residencial</v>
      </c>
      <c r="Z8" s="142" t="str">
        <f t="shared" si="1"/>
        <v>Infinitum 549Residencial</v>
      </c>
      <c r="AA8" s="142" t="str">
        <f t="shared" si="1"/>
        <v>Infinitum 899Residencial</v>
      </c>
      <c r="AB8" s="142" t="str">
        <f t="shared" si="1"/>
        <v>Paquete Conectes NegocioNo Residencial</v>
      </c>
      <c r="AC8" s="142" t="str">
        <f t="shared" si="1"/>
        <v>Paquete Mi NegocioNo Residencial</v>
      </c>
      <c r="AD8" s="142" t="str">
        <f t="shared" si="1"/>
        <v>Paquete Negocio 649No Residencial</v>
      </c>
      <c r="AE8" s="142" t="str">
        <f t="shared" si="1"/>
        <v>Paquete SupernegocioNo Residencial</v>
      </c>
      <c r="AF8" s="142" t="str">
        <f t="shared" si="1"/>
        <v>Paquete Negocio 999No Residencial</v>
      </c>
      <c r="AG8" s="142" t="str">
        <f t="shared" si="1"/>
        <v>Paquete Telmex Negocio Ilimitado 1No Residencial</v>
      </c>
      <c r="AH8" s="142" t="str">
        <f t="shared" si="1"/>
        <v>Paquete Telmex Negocio Ilimitado 2No Residencial</v>
      </c>
      <c r="AI8" s="142" t="str">
        <f t="shared" si="1"/>
        <v>Paquete Telmex Negocio Ilimitado 3No Residencial</v>
      </c>
      <c r="AJ8" s="142" t="str">
        <f t="shared" si="1"/>
        <v>Infinitum 299 NNo Residencial</v>
      </c>
      <c r="AK8" s="142" t="str">
        <f t="shared" si="1"/>
        <v>Infinitum Negocio 349No Residencial</v>
      </c>
      <c r="AL8" s="142" t="str">
        <f t="shared" si="1"/>
        <v>Infinitum Negocio 399No Residencial</v>
      </c>
      <c r="AM8" s="142" t="str">
        <f t="shared" si="1"/>
        <v>Infinitum Negocio 449No Residencial</v>
      </c>
      <c r="AN8" s="142" t="str">
        <f t="shared" si="1"/>
        <v>Infinitum Negocio 549No Residencial</v>
      </c>
      <c r="AO8" s="142" t="str">
        <f t="shared" si="1"/>
        <v>Infinitum Negocio 899No Residencial</v>
      </c>
      <c r="AP8" s="142" t="str">
        <f t="shared" si="1"/>
        <v>Infinitum NegocioNo Residencial</v>
      </c>
      <c r="AQ8" s="142" t="str">
        <f t="shared" si="1"/>
        <v>Infinitum Negocio RedNo Residencial</v>
      </c>
      <c r="AR8" s="142" t="str">
        <f t="shared" si="1"/>
        <v>Infinitum Negocio PremiumNo Residencial</v>
      </c>
    </row>
    <row r="9" spans="1:49" ht="12">
      <c r="C9" s="96" t="s">
        <v>541</v>
      </c>
      <c r="G9" s="16" t="s">
        <v>542</v>
      </c>
      <c r="H9" s="332">
        <f>SUM(vector.users.broadband)</f>
        <v>10813722.000000002</v>
      </c>
      <c r="I9" s="165">
        <f t="shared" ref="I9:AN9" si="2">IFERROR(VLOOKUP(I$8,AEP.broadband.subs.by.plan,6+MATCH(Year.selected,Years),FALSE),0)</f>
        <v>0</v>
      </c>
      <c r="J9" s="165">
        <f t="shared" si="2"/>
        <v>0</v>
      </c>
      <c r="K9" s="165">
        <f t="shared" si="2"/>
        <v>204939.02717152188</v>
      </c>
      <c r="L9" s="165">
        <f t="shared" si="2"/>
        <v>55334.300770548121</v>
      </c>
      <c r="M9" s="165">
        <f t="shared" si="2"/>
        <v>48930.262034513878</v>
      </c>
      <c r="N9" s="165">
        <f t="shared" si="2"/>
        <v>5678950.4302866785</v>
      </c>
      <c r="O9" s="165">
        <f t="shared" si="2"/>
        <v>245709.35172440385</v>
      </c>
      <c r="P9" s="165">
        <f t="shared" si="2"/>
        <v>281286.36594052933</v>
      </c>
      <c r="Q9" s="165">
        <f t="shared" si="2"/>
        <v>428142.72908752417</v>
      </c>
      <c r="R9" s="165">
        <f t="shared" si="2"/>
        <v>199881.76473088469</v>
      </c>
      <c r="S9" s="165">
        <f t="shared" si="2"/>
        <v>65881.438386245063</v>
      </c>
      <c r="T9" s="165">
        <f t="shared" si="2"/>
        <v>15606.357580019278</v>
      </c>
      <c r="U9" s="165">
        <f t="shared" si="2"/>
        <v>28074.80469271075</v>
      </c>
      <c r="V9" s="165">
        <f t="shared" si="2"/>
        <v>276.01083960899564</v>
      </c>
      <c r="W9" s="165">
        <f t="shared" si="2"/>
        <v>1492640.1940356989</v>
      </c>
      <c r="X9" s="165">
        <f t="shared" si="2"/>
        <v>182176.94176036297</v>
      </c>
      <c r="Y9" s="165">
        <f t="shared" si="2"/>
        <v>141180.52322184388</v>
      </c>
      <c r="Z9" s="165">
        <f t="shared" si="2"/>
        <v>166573.52046587146</v>
      </c>
      <c r="AA9" s="165">
        <f t="shared" si="2"/>
        <v>23795.657916928732</v>
      </c>
      <c r="AB9" s="165">
        <f t="shared" si="2"/>
        <v>624475.50337719533</v>
      </c>
      <c r="AC9" s="165">
        <f t="shared" si="2"/>
        <v>445286.72152224462</v>
      </c>
      <c r="AD9" s="165">
        <f t="shared" si="2"/>
        <v>9309.9826466693848</v>
      </c>
      <c r="AE9" s="165">
        <f t="shared" si="2"/>
        <v>224193.23013885578</v>
      </c>
      <c r="AF9" s="165">
        <f t="shared" si="2"/>
        <v>3627.2913886203478</v>
      </c>
      <c r="AG9" s="165">
        <f t="shared" si="2"/>
        <v>91.024851360413464</v>
      </c>
      <c r="AH9" s="165">
        <f t="shared" si="2"/>
        <v>37.192950018233461</v>
      </c>
      <c r="AI9" s="165">
        <f t="shared" si="2"/>
        <v>18.59647500911673</v>
      </c>
      <c r="AJ9" s="165">
        <f t="shared" si="2"/>
        <v>4898.7030221383811</v>
      </c>
      <c r="AK9" s="165">
        <f t="shared" si="2"/>
        <v>123982.69888578125</v>
      </c>
      <c r="AL9" s="165">
        <f t="shared" si="2"/>
        <v>17406.30060853326</v>
      </c>
      <c r="AM9" s="165">
        <f t="shared" si="2"/>
        <v>11577.773835939041</v>
      </c>
      <c r="AN9" s="165">
        <f t="shared" si="2"/>
        <v>22858.004071732215</v>
      </c>
      <c r="AO9" s="165">
        <f>IFERROR(VLOOKUP(AO$8,AEP.broadband.subs.by.plan,6+MATCH(Year.selected,Years),FALSE),0)</f>
        <v>5612.2204053829118</v>
      </c>
      <c r="AP9" s="165">
        <f>IFERROR(VLOOKUP(AP$8,AEP.broadband.subs.by.plan,6+MATCH(Year.selected,Years),FALSE),0)</f>
        <v>40133.150593359074</v>
      </c>
      <c r="AQ9" s="165">
        <f>IFERROR(VLOOKUP(AQ$8,AEP.broadband.subs.by.plan,6+MATCH(Year.selected,Years),FALSE),0)</f>
        <v>8624.8493568598224</v>
      </c>
      <c r="AR9" s="165">
        <f>IFERROR(VLOOKUP(AR$8,AEP.broadband.subs.by.plan,6+MATCH(Year.selected,Years),FALSE),0)</f>
        <v>12209.075224406426</v>
      </c>
      <c r="AS9" s="79" t="s">
        <v>543</v>
      </c>
      <c r="AV9" s="333" t="b">
        <f>INDEX(Broadbad.suscriptions.AEP,MATCH(Year.selected,Years))=H9</f>
        <v>1</v>
      </c>
      <c r="AW9" t="s">
        <v>544</v>
      </c>
    </row>
    <row r="10" spans="1:49" ht="12">
      <c r="C10" s="97" t="s">
        <v>545</v>
      </c>
      <c r="G10" s="16" t="s">
        <v>223</v>
      </c>
      <c r="H10" s="334">
        <f>SUM(vector.distribution.users.broadband)</f>
        <v>0.99999999999999989</v>
      </c>
      <c r="I10" s="159">
        <f t="shared" ref="I10:AN10" si="3">IFERROR(VLOOKUP(I$8,AEP.broadband.distribution.by.plan,6+MATCH(Year.selected,Years),FALSE),0)</f>
        <v>0</v>
      </c>
      <c r="J10" s="159">
        <f t="shared" si="3"/>
        <v>0</v>
      </c>
      <c r="K10" s="159">
        <f t="shared" si="3"/>
        <v>1.8951756589592545E-2</v>
      </c>
      <c r="L10" s="159">
        <f t="shared" si="3"/>
        <v>5.1170448778457703E-3</v>
      </c>
      <c r="M10" s="159">
        <f t="shared" si="3"/>
        <v>4.524830769138866E-3</v>
      </c>
      <c r="N10" s="159">
        <f t="shared" si="3"/>
        <v>0.52516149668788215</v>
      </c>
      <c r="O10" s="159">
        <f t="shared" si="3"/>
        <v>2.2721996341722474E-2</v>
      </c>
      <c r="P10" s="159">
        <f t="shared" si="3"/>
        <v>2.6011984212330346E-2</v>
      </c>
      <c r="Q10" s="159">
        <f t="shared" si="3"/>
        <v>3.9592540763256551E-2</v>
      </c>
      <c r="R10" s="159">
        <f t="shared" si="3"/>
        <v>1.8484085750575491E-2</v>
      </c>
      <c r="S10" s="159">
        <f t="shared" si="3"/>
        <v>6.0923924608238559E-3</v>
      </c>
      <c r="T10" s="159">
        <f t="shared" si="3"/>
        <v>1.4431994441894546E-3</v>
      </c>
      <c r="U10" s="159">
        <f t="shared" si="3"/>
        <v>2.5962203108893266E-3</v>
      </c>
      <c r="V10" s="159">
        <f t="shared" si="3"/>
        <v>2.5524129398646984E-5</v>
      </c>
      <c r="W10" s="159">
        <f t="shared" si="3"/>
        <v>0.13803204798825963</v>
      </c>
      <c r="X10" s="159">
        <f t="shared" si="3"/>
        <v>1.6846830514078592E-2</v>
      </c>
      <c r="Y10" s="159">
        <f t="shared" si="3"/>
        <v>1.3055682698505091E-2</v>
      </c>
      <c r="Z10" s="159">
        <f t="shared" si="3"/>
        <v>1.5403902603180614E-2</v>
      </c>
      <c r="AA10" s="159">
        <f t="shared" si="3"/>
        <v>2.20050579411314E-3</v>
      </c>
      <c r="AB10" s="159">
        <f t="shared" si="3"/>
        <v>5.7748433275535964E-2</v>
      </c>
      <c r="AC10" s="159">
        <f t="shared" si="3"/>
        <v>4.117793314108173E-2</v>
      </c>
      <c r="AD10" s="159">
        <f t="shared" si="3"/>
        <v>8.6094155616996495E-4</v>
      </c>
      <c r="AE10" s="159">
        <f t="shared" si="3"/>
        <v>2.0732290892891067E-2</v>
      </c>
      <c r="AF10" s="159">
        <f t="shared" si="3"/>
        <v>3.3543412606874373E-4</v>
      </c>
      <c r="AG10" s="159">
        <f t="shared" si="3"/>
        <v>8.4175320357240054E-6</v>
      </c>
      <c r="AH10" s="159">
        <f t="shared" si="3"/>
        <v>3.4394216920162605E-6</v>
      </c>
      <c r="AI10" s="159">
        <f t="shared" si="3"/>
        <v>1.7197108460081302E-6</v>
      </c>
      <c r="AJ10" s="159">
        <f t="shared" si="3"/>
        <v>4.5300804127740486E-4</v>
      </c>
      <c r="AK10" s="159">
        <f t="shared" si="3"/>
        <v>1.1465312210336205E-2</v>
      </c>
      <c r="AL10" s="159">
        <f t="shared" si="3"/>
        <v>1.60964935186361E-3</v>
      </c>
      <c r="AM10" s="159">
        <f t="shared" si="3"/>
        <v>1.0706557682857985E-3</v>
      </c>
      <c r="AN10" s="159">
        <f t="shared" si="3"/>
        <v>2.1137961630354669E-3</v>
      </c>
      <c r="AO10" s="159">
        <f>IFERROR(VLOOKUP(AO$8,AEP.broadband.distribution.by.plan,6+MATCH(Year.selected,Years),FALSE),0)</f>
        <v>5.18990631105822E-4</v>
      </c>
      <c r="AP10" s="159">
        <f>IFERROR(VLOOKUP(AP$8,AEP.broadband.distribution.by.plan,6+MATCH(Year.selected,Years),FALSE),0)</f>
        <v>3.7113170278798616E-3</v>
      </c>
      <c r="AQ10" s="159">
        <f>IFERROR(VLOOKUP(AQ$8,AEP.broadband.distribution.by.plan,6+MATCH(Year.selected,Years),FALSE),0)</f>
        <v>7.9758378815913912E-4</v>
      </c>
      <c r="AR10" s="159">
        <f>IFERROR(VLOOKUP(AR$8,AEP.broadband.distribution.by.plan,6+MATCH(Year.selected,Years),FALSE),0)</f>
        <v>1.1290354259529166E-3</v>
      </c>
      <c r="AS10" s="79" t="s">
        <v>546</v>
      </c>
    </row>
    <row r="11" spans="1:49" ht="12">
      <c r="C11" s="96"/>
    </row>
    <row r="12" spans="1:49" ht="12">
      <c r="C12" s="96" t="s">
        <v>547</v>
      </c>
      <c r="G12" s="16" t="s">
        <v>548</v>
      </c>
      <c r="H12" s="332">
        <f>SUM(vector.users.telephone)</f>
        <v>10218136</v>
      </c>
      <c r="I12" s="165">
        <f t="shared" ref="I12:AR12" si="4">IFERROR(VLOOKUP(I$8,AEP.telephony.subs.by.plan,6+MATCH(Year.selected,Years),FALSE),0)</f>
        <v>502147.36677584972</v>
      </c>
      <c r="J12" s="165">
        <f t="shared" si="4"/>
        <v>1184287.0621613099</v>
      </c>
      <c r="K12" s="165">
        <f t="shared" si="4"/>
        <v>204939.02717152188</v>
      </c>
      <c r="L12" s="165">
        <f t="shared" si="4"/>
        <v>55334.300770548121</v>
      </c>
      <c r="M12" s="165">
        <f t="shared" si="4"/>
        <v>48930.262034513878</v>
      </c>
      <c r="N12" s="165">
        <f t="shared" si="4"/>
        <v>5678950.4302866785</v>
      </c>
      <c r="O12" s="165">
        <f t="shared" si="4"/>
        <v>245709.35172440385</v>
      </c>
      <c r="P12" s="165">
        <f t="shared" si="4"/>
        <v>281286.36594052933</v>
      </c>
      <c r="Q12" s="165">
        <f t="shared" si="4"/>
        <v>428142.72908752417</v>
      </c>
      <c r="R12" s="165">
        <f t="shared" si="4"/>
        <v>199881.76473088469</v>
      </c>
      <c r="S12" s="165">
        <f t="shared" si="4"/>
        <v>65881.438386245063</v>
      </c>
      <c r="T12" s="165">
        <f t="shared" si="4"/>
        <v>15606.357580019278</v>
      </c>
      <c r="U12" s="165">
        <f t="shared" si="4"/>
        <v>0</v>
      </c>
      <c r="V12" s="165">
        <f t="shared" si="4"/>
        <v>0</v>
      </c>
      <c r="W12" s="165">
        <f t="shared" si="4"/>
        <v>0</v>
      </c>
      <c r="X12" s="165">
        <f t="shared" si="4"/>
        <v>0</v>
      </c>
      <c r="Y12" s="165">
        <f t="shared" si="4"/>
        <v>0</v>
      </c>
      <c r="Z12" s="165">
        <f t="shared" si="4"/>
        <v>0</v>
      </c>
      <c r="AA12" s="165">
        <f t="shared" si="4"/>
        <v>0</v>
      </c>
      <c r="AB12" s="165">
        <f t="shared" si="4"/>
        <v>624475.50337719533</v>
      </c>
      <c r="AC12" s="165">
        <f t="shared" si="4"/>
        <v>445286.72152224462</v>
      </c>
      <c r="AD12" s="165">
        <f t="shared" si="4"/>
        <v>9309.9826466693848</v>
      </c>
      <c r="AE12" s="165">
        <f t="shared" si="4"/>
        <v>224193.23013885578</v>
      </c>
      <c r="AF12" s="165">
        <f t="shared" si="4"/>
        <v>3627.2913886203478</v>
      </c>
      <c r="AG12" s="165">
        <f t="shared" si="4"/>
        <v>91.024851360413464</v>
      </c>
      <c r="AH12" s="165">
        <f t="shared" si="4"/>
        <v>37.192950018233461</v>
      </c>
      <c r="AI12" s="165">
        <f t="shared" si="4"/>
        <v>18.59647500911673</v>
      </c>
      <c r="AJ12" s="165">
        <f t="shared" si="4"/>
        <v>0</v>
      </c>
      <c r="AK12" s="165">
        <f t="shared" si="4"/>
        <v>0</v>
      </c>
      <c r="AL12" s="165">
        <f t="shared" si="4"/>
        <v>0</v>
      </c>
      <c r="AM12" s="165">
        <f t="shared" si="4"/>
        <v>0</v>
      </c>
      <c r="AN12" s="165">
        <f t="shared" si="4"/>
        <v>0</v>
      </c>
      <c r="AO12" s="165">
        <f t="shared" si="4"/>
        <v>0</v>
      </c>
      <c r="AP12" s="165">
        <f t="shared" si="4"/>
        <v>0</v>
      </c>
      <c r="AQ12" s="165">
        <f t="shared" si="4"/>
        <v>0</v>
      </c>
      <c r="AR12" s="165">
        <f t="shared" si="4"/>
        <v>0</v>
      </c>
      <c r="AS12" s="79" t="s">
        <v>549</v>
      </c>
      <c r="AV12" s="333" t="b">
        <f>INDEX(AEP.telephone.lines,MATCH(Year.selected,Years))=H12</f>
        <v>1</v>
      </c>
      <c r="AW12" t="s">
        <v>544</v>
      </c>
    </row>
    <row r="13" spans="1:49" ht="12">
      <c r="C13" s="97" t="s">
        <v>545</v>
      </c>
      <c r="G13" s="16" t="s">
        <v>223</v>
      </c>
      <c r="H13" s="334">
        <f>SUM(vector.users.distribution.telephone)</f>
        <v>1.0000000000000002</v>
      </c>
      <c r="I13" s="159">
        <f t="shared" ref="I13:AR13" si="5">IFERROR(VLOOKUP(I$8,AEP.telephony.distribution.by.plan,6+MATCH(Year.selected,Years),FALSE),0)</f>
        <v>4.9142756249853176E-2</v>
      </c>
      <c r="J13" s="159">
        <f t="shared" si="5"/>
        <v>0.11590049908919885</v>
      </c>
      <c r="K13" s="159">
        <f t="shared" si="5"/>
        <v>2.0056400420930185E-2</v>
      </c>
      <c r="L13" s="159">
        <f t="shared" si="5"/>
        <v>5.4153028273011949E-3</v>
      </c>
      <c r="M13" s="159">
        <f t="shared" si="5"/>
        <v>4.7885702475005103E-3</v>
      </c>
      <c r="N13" s="159">
        <f t="shared" si="5"/>
        <v>0.55577166229600761</v>
      </c>
      <c r="O13" s="159">
        <f t="shared" si="5"/>
        <v>2.4046396693526477E-2</v>
      </c>
      <c r="P13" s="159">
        <f t="shared" si="5"/>
        <v>2.7528148572355009E-2</v>
      </c>
      <c r="Q13" s="159">
        <f t="shared" si="5"/>
        <v>4.1900277025821948E-2</v>
      </c>
      <c r="R13" s="159">
        <f t="shared" si="5"/>
        <v>1.9561470382747373E-2</v>
      </c>
      <c r="S13" s="159">
        <f t="shared" si="5"/>
        <v>6.4475006386923274E-3</v>
      </c>
      <c r="T13" s="159">
        <f t="shared" si="5"/>
        <v>1.5273194230355984E-3</v>
      </c>
      <c r="U13" s="159">
        <f t="shared" si="5"/>
        <v>0</v>
      </c>
      <c r="V13" s="159">
        <f t="shared" si="5"/>
        <v>0</v>
      </c>
      <c r="W13" s="159">
        <f t="shared" si="5"/>
        <v>0</v>
      </c>
      <c r="X13" s="159">
        <f t="shared" si="5"/>
        <v>0</v>
      </c>
      <c r="Y13" s="159">
        <f t="shared" si="5"/>
        <v>0</v>
      </c>
      <c r="Z13" s="159">
        <f t="shared" si="5"/>
        <v>0</v>
      </c>
      <c r="AA13" s="159">
        <f t="shared" si="5"/>
        <v>0</v>
      </c>
      <c r="AB13" s="159">
        <f t="shared" si="5"/>
        <v>6.1114424722590828E-2</v>
      </c>
      <c r="AC13" s="159">
        <f t="shared" si="5"/>
        <v>4.3578077402986672E-2</v>
      </c>
      <c r="AD13" s="159">
        <f t="shared" si="5"/>
        <v>9.1112338362587706E-4</v>
      </c>
      <c r="AE13" s="159">
        <f t="shared" si="5"/>
        <v>2.1940716989757799E-2</v>
      </c>
      <c r="AF13" s="159">
        <f t="shared" si="5"/>
        <v>3.5498562444464897E-4</v>
      </c>
      <c r="AG13" s="159">
        <f t="shared" si="5"/>
        <v>8.9081659669056528E-6</v>
      </c>
      <c r="AH13" s="159">
        <f t="shared" si="5"/>
        <v>3.6398957714238156E-6</v>
      </c>
      <c r="AI13" s="159">
        <f t="shared" si="5"/>
        <v>1.8199478857119078E-6</v>
      </c>
      <c r="AJ13" s="159">
        <f t="shared" si="5"/>
        <v>0</v>
      </c>
      <c r="AK13" s="159">
        <f t="shared" si="5"/>
        <v>0</v>
      </c>
      <c r="AL13" s="159">
        <f t="shared" si="5"/>
        <v>0</v>
      </c>
      <c r="AM13" s="159">
        <f t="shared" si="5"/>
        <v>0</v>
      </c>
      <c r="AN13" s="159">
        <f t="shared" si="5"/>
        <v>0</v>
      </c>
      <c r="AO13" s="159">
        <f t="shared" si="5"/>
        <v>0</v>
      </c>
      <c r="AP13" s="159">
        <f t="shared" si="5"/>
        <v>0</v>
      </c>
      <c r="AQ13" s="159">
        <f t="shared" si="5"/>
        <v>0</v>
      </c>
      <c r="AR13" s="159">
        <f t="shared" si="5"/>
        <v>0</v>
      </c>
      <c r="AS13" s="79" t="s">
        <v>550</v>
      </c>
    </row>
    <row r="14" spans="1:49" ht="12"/>
    <row r="15" spans="1:49" ht="36" customHeight="1">
      <c r="C15" s="96" t="s">
        <v>551</v>
      </c>
    </row>
    <row r="16" spans="1:49" ht="12">
      <c r="C16" s="97" t="s">
        <v>552</v>
      </c>
      <c r="G16" s="16" t="s">
        <v>553</v>
      </c>
      <c r="I16" s="335">
        <v>12</v>
      </c>
      <c r="J16" s="335">
        <v>12</v>
      </c>
      <c r="K16" s="335">
        <v>12</v>
      </c>
      <c r="L16" s="335">
        <v>12</v>
      </c>
      <c r="M16" s="335">
        <v>12</v>
      </c>
      <c r="N16" s="335">
        <v>12</v>
      </c>
      <c r="O16" s="335">
        <v>12</v>
      </c>
      <c r="P16" s="335">
        <v>12</v>
      </c>
      <c r="Q16" s="335">
        <v>12</v>
      </c>
      <c r="R16" s="335">
        <v>12</v>
      </c>
      <c r="S16" s="335">
        <v>12</v>
      </c>
      <c r="T16" s="335">
        <v>12</v>
      </c>
      <c r="U16" s="335">
        <v>12</v>
      </c>
      <c r="V16" s="335">
        <v>12</v>
      </c>
      <c r="W16" s="335">
        <v>12</v>
      </c>
      <c r="X16" s="335">
        <v>12</v>
      </c>
      <c r="Y16" s="335">
        <v>12</v>
      </c>
      <c r="Z16" s="335">
        <v>12</v>
      </c>
      <c r="AA16" s="335">
        <v>12</v>
      </c>
      <c r="AB16" s="335">
        <v>12</v>
      </c>
      <c r="AC16" s="335">
        <v>12</v>
      </c>
      <c r="AD16" s="335">
        <v>12</v>
      </c>
      <c r="AE16" s="335">
        <v>12</v>
      </c>
      <c r="AF16" s="335">
        <v>12</v>
      </c>
      <c r="AG16" s="335">
        <v>12</v>
      </c>
      <c r="AH16" s="335">
        <v>12</v>
      </c>
      <c r="AI16" s="335">
        <v>12</v>
      </c>
      <c r="AJ16" s="335">
        <v>12</v>
      </c>
      <c r="AK16" s="335">
        <v>12</v>
      </c>
      <c r="AL16" s="335">
        <v>12</v>
      </c>
      <c r="AM16" s="335">
        <v>12</v>
      </c>
      <c r="AN16" s="335">
        <v>12</v>
      </c>
      <c r="AO16" s="335">
        <v>12</v>
      </c>
      <c r="AP16" s="335">
        <v>12</v>
      </c>
      <c r="AQ16" s="335">
        <v>12</v>
      </c>
      <c r="AR16" s="335">
        <v>12</v>
      </c>
      <c r="AS16" s="336" t="s">
        <v>554</v>
      </c>
    </row>
    <row r="17" spans="1:45" ht="12">
      <c r="C17" s="97"/>
    </row>
    <row r="18" spans="1:45" ht="12">
      <c r="C18" s="96" t="s">
        <v>555</v>
      </c>
    </row>
    <row r="19" spans="1:45" ht="12">
      <c r="C19" s="97" t="s">
        <v>556</v>
      </c>
      <c r="G19" s="277" t="s">
        <v>557</v>
      </c>
      <c r="I19" s="91">
        <f>IF(I16=12,1,0)</f>
        <v>1</v>
      </c>
      <c r="J19" s="91">
        <f t="shared" ref="J19:AR19" si="6">IF(J16=12,1,0)</f>
        <v>1</v>
      </c>
      <c r="K19" s="91">
        <f t="shared" si="6"/>
        <v>1</v>
      </c>
      <c r="L19" s="91">
        <f t="shared" si="6"/>
        <v>1</v>
      </c>
      <c r="M19" s="91">
        <f t="shared" si="6"/>
        <v>1</v>
      </c>
      <c r="N19" s="91">
        <f t="shared" si="6"/>
        <v>1</v>
      </c>
      <c r="O19" s="91">
        <f t="shared" si="6"/>
        <v>1</v>
      </c>
      <c r="P19" s="91">
        <f t="shared" si="6"/>
        <v>1</v>
      </c>
      <c r="Q19" s="91">
        <f t="shared" si="6"/>
        <v>1</v>
      </c>
      <c r="R19" s="91">
        <f t="shared" si="6"/>
        <v>1</v>
      </c>
      <c r="S19" s="91">
        <f t="shared" si="6"/>
        <v>1</v>
      </c>
      <c r="T19" s="91">
        <f t="shared" si="6"/>
        <v>1</v>
      </c>
      <c r="U19" s="91">
        <f t="shared" si="6"/>
        <v>1</v>
      </c>
      <c r="V19" s="91">
        <f t="shared" si="6"/>
        <v>1</v>
      </c>
      <c r="W19" s="91">
        <f t="shared" si="6"/>
        <v>1</v>
      </c>
      <c r="X19" s="91">
        <f>IF(X16=12,1,0)</f>
        <v>1</v>
      </c>
      <c r="Y19" s="91">
        <f>IF(Y16=12,1,0)</f>
        <v>1</v>
      </c>
      <c r="Z19" s="91">
        <f>IF(Z16=12,1,0)</f>
        <v>1</v>
      </c>
      <c r="AA19" s="91">
        <f t="shared" si="6"/>
        <v>1</v>
      </c>
      <c r="AB19" s="91">
        <f t="shared" si="6"/>
        <v>1</v>
      </c>
      <c r="AC19" s="91">
        <f t="shared" si="6"/>
        <v>1</v>
      </c>
      <c r="AD19" s="91">
        <f t="shared" si="6"/>
        <v>1</v>
      </c>
      <c r="AE19" s="91">
        <f t="shared" si="6"/>
        <v>1</v>
      </c>
      <c r="AF19" s="91">
        <f t="shared" si="6"/>
        <v>1</v>
      </c>
      <c r="AG19" s="91">
        <f t="shared" si="6"/>
        <v>1</v>
      </c>
      <c r="AH19" s="91">
        <f t="shared" si="6"/>
        <v>1</v>
      </c>
      <c r="AI19" s="91">
        <f t="shared" si="6"/>
        <v>1</v>
      </c>
      <c r="AJ19" s="91">
        <f t="shared" si="6"/>
        <v>1</v>
      </c>
      <c r="AK19" s="91">
        <f t="shared" si="6"/>
        <v>1</v>
      </c>
      <c r="AL19" s="91">
        <f t="shared" si="6"/>
        <v>1</v>
      </c>
      <c r="AM19" s="91">
        <f t="shared" si="6"/>
        <v>1</v>
      </c>
      <c r="AN19" s="91">
        <f t="shared" si="6"/>
        <v>1</v>
      </c>
      <c r="AO19" s="91">
        <f t="shared" si="6"/>
        <v>1</v>
      </c>
      <c r="AP19" s="91">
        <f t="shared" si="6"/>
        <v>1</v>
      </c>
      <c r="AQ19" s="91">
        <f t="shared" si="6"/>
        <v>1</v>
      </c>
      <c r="AR19" s="91">
        <f t="shared" si="6"/>
        <v>1</v>
      </c>
      <c r="AS19" s="336" t="s">
        <v>558</v>
      </c>
    </row>
    <row r="20" spans="1:45" ht="12">
      <c r="C20" s="97" t="s">
        <v>559</v>
      </c>
      <c r="G20" s="277" t="s">
        <v>557</v>
      </c>
      <c r="I20" s="91">
        <f t="shared" ref="I20:W20" si="7">IF(I5&lt;&gt;"Internet fijo",IF(I7="Residencial",1,0),0)</f>
        <v>1</v>
      </c>
      <c r="J20" s="91">
        <f t="shared" si="7"/>
        <v>0</v>
      </c>
      <c r="K20" s="91">
        <f t="shared" si="7"/>
        <v>1</v>
      </c>
      <c r="L20" s="91">
        <f t="shared" si="7"/>
        <v>1</v>
      </c>
      <c r="M20" s="91">
        <f t="shared" si="7"/>
        <v>1</v>
      </c>
      <c r="N20" s="91">
        <f t="shared" si="7"/>
        <v>1</v>
      </c>
      <c r="O20" s="91">
        <f t="shared" si="7"/>
        <v>1</v>
      </c>
      <c r="P20" s="91">
        <f t="shared" si="7"/>
        <v>1</v>
      </c>
      <c r="Q20" s="91">
        <f t="shared" si="7"/>
        <v>1</v>
      </c>
      <c r="R20" s="91">
        <f t="shared" si="7"/>
        <v>1</v>
      </c>
      <c r="S20" s="91">
        <f t="shared" si="7"/>
        <v>1</v>
      </c>
      <c r="T20" s="91">
        <f t="shared" si="7"/>
        <v>1</v>
      </c>
      <c r="U20" s="91">
        <f t="shared" si="7"/>
        <v>0</v>
      </c>
      <c r="V20" s="91">
        <f t="shared" si="7"/>
        <v>0</v>
      </c>
      <c r="W20" s="91">
        <f t="shared" si="7"/>
        <v>0</v>
      </c>
      <c r="X20" s="91">
        <f>IF(X5&lt;&gt;"Internet fijo",IF(X7="Residencial",1,0),0)</f>
        <v>0</v>
      </c>
      <c r="Y20" s="91">
        <f>IF(Y5&lt;&gt;"Internet fijo",IF(Y7="Residencial",1,0),0)</f>
        <v>0</v>
      </c>
      <c r="Z20" s="91">
        <f>IF(Z5&lt;&gt;"Internet fijo",IF(Z7="Residencial",1,0),0)</f>
        <v>0</v>
      </c>
      <c r="AA20" s="91">
        <f t="shared" ref="AA20:AR20" si="8">IF(AA5&lt;&gt;"Internet fijo",IF(AA7="Residencial",1,0),0)</f>
        <v>0</v>
      </c>
      <c r="AB20" s="91">
        <f t="shared" si="8"/>
        <v>0</v>
      </c>
      <c r="AC20" s="91">
        <f t="shared" si="8"/>
        <v>0</v>
      </c>
      <c r="AD20" s="91">
        <f t="shared" si="8"/>
        <v>0</v>
      </c>
      <c r="AE20" s="91">
        <f t="shared" si="8"/>
        <v>0</v>
      </c>
      <c r="AF20" s="91">
        <f t="shared" si="8"/>
        <v>0</v>
      </c>
      <c r="AG20" s="91">
        <f t="shared" si="8"/>
        <v>0</v>
      </c>
      <c r="AH20" s="91">
        <f t="shared" si="8"/>
        <v>0</v>
      </c>
      <c r="AI20" s="91">
        <f>IF(AI5&lt;&gt;"Internet fijo",IF(AI7="Residencial",1,0),0)</f>
        <v>0</v>
      </c>
      <c r="AJ20" s="91">
        <f t="shared" si="8"/>
        <v>0</v>
      </c>
      <c r="AK20" s="91">
        <f t="shared" si="8"/>
        <v>0</v>
      </c>
      <c r="AL20" s="91">
        <f t="shared" si="8"/>
        <v>0</v>
      </c>
      <c r="AM20" s="91">
        <f t="shared" si="8"/>
        <v>0</v>
      </c>
      <c r="AN20" s="91">
        <f t="shared" si="8"/>
        <v>0</v>
      </c>
      <c r="AO20" s="91">
        <f t="shared" si="8"/>
        <v>0</v>
      </c>
      <c r="AP20" s="91">
        <f t="shared" si="8"/>
        <v>0</v>
      </c>
      <c r="AQ20" s="91">
        <f t="shared" si="8"/>
        <v>0</v>
      </c>
      <c r="AR20" s="91">
        <f t="shared" si="8"/>
        <v>0</v>
      </c>
      <c r="AS20" s="336" t="s">
        <v>560</v>
      </c>
    </row>
    <row r="21" spans="1:45" ht="12">
      <c r="C21" s="97" t="s">
        <v>561</v>
      </c>
      <c r="G21" s="277" t="s">
        <v>557</v>
      </c>
      <c r="I21" s="91">
        <f t="shared" ref="I21:W21" si="9">IF(I5&lt;&gt;"Internet fijo",IF(I7="No Residencial",1,0),0)</f>
        <v>0</v>
      </c>
      <c r="J21" s="91">
        <f t="shared" si="9"/>
        <v>1</v>
      </c>
      <c r="K21" s="91">
        <f t="shared" si="9"/>
        <v>0</v>
      </c>
      <c r="L21" s="91">
        <f t="shared" si="9"/>
        <v>0</v>
      </c>
      <c r="M21" s="91">
        <f t="shared" si="9"/>
        <v>0</v>
      </c>
      <c r="N21" s="91">
        <f t="shared" si="9"/>
        <v>0</v>
      </c>
      <c r="O21" s="91">
        <f t="shared" si="9"/>
        <v>0</v>
      </c>
      <c r="P21" s="91">
        <f t="shared" si="9"/>
        <v>0</v>
      </c>
      <c r="Q21" s="91">
        <f t="shared" si="9"/>
        <v>0</v>
      </c>
      <c r="R21" s="91">
        <f t="shared" si="9"/>
        <v>0</v>
      </c>
      <c r="S21" s="91">
        <f t="shared" si="9"/>
        <v>0</v>
      </c>
      <c r="T21" s="91">
        <f t="shared" si="9"/>
        <v>0</v>
      </c>
      <c r="U21" s="91">
        <f t="shared" si="9"/>
        <v>0</v>
      </c>
      <c r="V21" s="91">
        <f t="shared" si="9"/>
        <v>0</v>
      </c>
      <c r="W21" s="91">
        <f t="shared" si="9"/>
        <v>0</v>
      </c>
      <c r="X21" s="91">
        <f>IF(X5&lt;&gt;"Internet fijo",IF(X7="No Residencial",1,0),0)</f>
        <v>0</v>
      </c>
      <c r="Y21" s="91">
        <f>IF(Y5&lt;&gt;"Internet fijo",IF(Y7="No Residencial",1,0),0)</f>
        <v>0</v>
      </c>
      <c r="Z21" s="91">
        <f>IF(Z5&lt;&gt;"Internet fijo",IF(Z7="No Residencial",1,0),0)</f>
        <v>0</v>
      </c>
      <c r="AA21" s="91">
        <f t="shared" ref="AA21:AR21" si="10">IF(AA5&lt;&gt;"Internet fijo",IF(AA7="No Residencial",1,0),0)</f>
        <v>0</v>
      </c>
      <c r="AB21" s="91">
        <f t="shared" si="10"/>
        <v>1</v>
      </c>
      <c r="AC21" s="91">
        <f t="shared" si="10"/>
        <v>1</v>
      </c>
      <c r="AD21" s="91">
        <f t="shared" si="10"/>
        <v>1</v>
      </c>
      <c r="AE21" s="91">
        <f t="shared" si="10"/>
        <v>1</v>
      </c>
      <c r="AF21" s="91">
        <f t="shared" si="10"/>
        <v>1</v>
      </c>
      <c r="AG21" s="91">
        <f t="shared" si="10"/>
        <v>1</v>
      </c>
      <c r="AH21" s="91">
        <f t="shared" si="10"/>
        <v>1</v>
      </c>
      <c r="AI21" s="91">
        <f t="shared" si="10"/>
        <v>1</v>
      </c>
      <c r="AJ21" s="91">
        <f t="shared" si="10"/>
        <v>0</v>
      </c>
      <c r="AK21" s="91">
        <f t="shared" si="10"/>
        <v>0</v>
      </c>
      <c r="AL21" s="91">
        <f t="shared" si="10"/>
        <v>0</v>
      </c>
      <c r="AM21" s="91">
        <f t="shared" si="10"/>
        <v>0</v>
      </c>
      <c r="AN21" s="91">
        <f t="shared" si="10"/>
        <v>0</v>
      </c>
      <c r="AO21" s="91">
        <f t="shared" si="10"/>
        <v>0</v>
      </c>
      <c r="AP21" s="91">
        <f t="shared" si="10"/>
        <v>0</v>
      </c>
      <c r="AQ21" s="91">
        <f t="shared" si="10"/>
        <v>0</v>
      </c>
      <c r="AR21" s="91">
        <f t="shared" si="10"/>
        <v>0</v>
      </c>
      <c r="AS21" s="336" t="s">
        <v>562</v>
      </c>
    </row>
    <row r="22" spans="1:45" ht="12"/>
    <row r="23" spans="1:45" ht="12">
      <c r="A23" s="94">
        <v>2</v>
      </c>
      <c r="B23" s="94" t="s">
        <v>563</v>
      </c>
      <c r="C23" s="94"/>
      <c r="D23" s="73"/>
      <c r="E23" s="73"/>
      <c r="F23" s="73"/>
      <c r="G23" s="73"/>
      <c r="H23" s="73"/>
    </row>
    <row r="24" spans="1:45" ht="12">
      <c r="C24" s="96"/>
    </row>
    <row r="25" spans="1:45" ht="12">
      <c r="C25" s="96" t="s">
        <v>564</v>
      </c>
      <c r="G25" s="277" t="s">
        <v>565</v>
      </c>
      <c r="H25" t="s">
        <v>538</v>
      </c>
      <c r="I25" s="337">
        <v>1</v>
      </c>
      <c r="J25" s="337">
        <v>1</v>
      </c>
      <c r="K25" s="92">
        <f>IFERROR(VLOOKUP(K$8,'Planes y paquetes'!$A$384:$BW$417,8,FALSE),0)</f>
        <v>1</v>
      </c>
      <c r="L25" s="92">
        <f>IFERROR(VLOOKUP(L$8,'Planes y paquetes'!$A$384:$BW$417,8,FALSE),0)</f>
        <v>1</v>
      </c>
      <c r="M25" s="92">
        <f>IFERROR(VLOOKUP(M$8,'Planes y paquetes'!$A$384:$BW$417,8,FALSE),0)</f>
        <v>1</v>
      </c>
      <c r="N25" s="92">
        <f>IFERROR(VLOOKUP(N$8,'Planes y paquetes'!$A$384:$BW$417,8,FALSE),0)</f>
        <v>1</v>
      </c>
      <c r="O25" s="92">
        <f>IFERROR(VLOOKUP(O$8,'Planes y paquetes'!$A$384:$BW$417,8,FALSE),0)</f>
        <v>1</v>
      </c>
      <c r="P25" s="92">
        <f>IFERROR(VLOOKUP(P$8,'Planes y paquetes'!$A$384:$BW$417,8,FALSE),0)</f>
        <v>1</v>
      </c>
      <c r="Q25" s="92">
        <f>IFERROR(VLOOKUP(Q$8,'Planes y paquetes'!$A$384:$BW$417,8,FALSE),0)</f>
        <v>2</v>
      </c>
      <c r="R25" s="92">
        <f>IFERROR(VLOOKUP(R$8,'Planes y paquetes'!$A$384:$BW$417,8,FALSE),0)</f>
        <v>2</v>
      </c>
      <c r="S25" s="92">
        <f>IFERROR(VLOOKUP(S$8,'Planes y paquetes'!$A$384:$BW$417,8,FALSE),0)</f>
        <v>3</v>
      </c>
      <c r="T25" s="92">
        <f>IFERROR(VLOOKUP(T$8,'Planes y paquetes'!$A$384:$BW$417,8,FALSE),0)</f>
        <v>6</v>
      </c>
      <c r="U25" s="92">
        <f>IFERROR(VLOOKUP(U$8,'Planes y paquetes'!$A$384:$BW$417,8,FALSE),0)</f>
        <v>0</v>
      </c>
      <c r="V25" s="92">
        <f>IFERROR(VLOOKUP(V$8,'Planes y paquetes'!$A$384:$BW$417,8,FALSE),0)</f>
        <v>0</v>
      </c>
      <c r="W25" s="92">
        <f>IFERROR(VLOOKUP(W$8,'Planes y paquetes'!$A$384:$BW$417,8,FALSE),0)</f>
        <v>0</v>
      </c>
      <c r="X25" s="92">
        <f>IFERROR(VLOOKUP(X$8,'Planes y paquetes'!$A$384:$BW$417,8,FALSE),0)</f>
        <v>0</v>
      </c>
      <c r="Y25" s="92">
        <f>IFERROR(VLOOKUP(Y$8,'Planes y paquetes'!$A$384:$BW$417,8,FALSE),0)</f>
        <v>0</v>
      </c>
      <c r="Z25" s="92">
        <f>IFERROR(VLOOKUP(Z$8,'Planes y paquetes'!$A$384:$BW$417,8,FALSE),0)</f>
        <v>0</v>
      </c>
      <c r="AA25" s="92">
        <f>IFERROR(VLOOKUP(AA$8,'Planes y paquetes'!$A$384:$BW$417,8,FALSE),0)</f>
        <v>0</v>
      </c>
      <c r="AB25" s="92">
        <f>IFERROR(VLOOKUP(AB$8,'Planes y paquetes'!$A$384:$BW$417,8,FALSE),0)</f>
        <v>1</v>
      </c>
      <c r="AC25" s="92">
        <f>IFERROR(VLOOKUP(AC$8,'Planes y paquetes'!$A$384:$BW$417,8,FALSE),0)</f>
        <v>2</v>
      </c>
      <c r="AD25" s="92">
        <f>IFERROR(VLOOKUP(AD$8,'Planes y paquetes'!$A$384:$BW$417,8,FALSE),0)</f>
        <v>2</v>
      </c>
      <c r="AE25" s="92">
        <f>IFERROR(VLOOKUP(AE$8,'Planes y paquetes'!$A$384:$BW$417,8,FALSE),0)</f>
        <v>2</v>
      </c>
      <c r="AF25" s="92">
        <f>IFERROR(VLOOKUP(AF$8,'Planes y paquetes'!$A$384:$BW$417,8,FALSE),0)</f>
        <v>2</v>
      </c>
      <c r="AG25" s="92">
        <f>IFERROR(VLOOKUP(AG$8,'Planes y paquetes'!$A$384:$BW$417,8,FALSE),0)</f>
        <v>2</v>
      </c>
      <c r="AH25" s="92">
        <f>IFERROR(VLOOKUP(AH$8,'Planes y paquetes'!$A$384:$BW$417,8,FALSE),0)</f>
        <v>4</v>
      </c>
      <c r="AI25" s="92">
        <f>IFERROR(VLOOKUP(AI$8,'Planes y paquetes'!$A$384:$BW$417,8,FALSE),0)</f>
        <v>6</v>
      </c>
      <c r="AJ25" s="92">
        <f>IFERROR(VLOOKUP(AJ$8,'Planes y paquetes'!$A$384:$BW$417,8,FALSE),0)</f>
        <v>0</v>
      </c>
      <c r="AK25" s="92">
        <f>IFERROR(VLOOKUP(AK$8,'Planes y paquetes'!$A$384:$BW$417,8,FALSE),0)</f>
        <v>0</v>
      </c>
      <c r="AL25" s="92">
        <f>IFERROR(VLOOKUP(AL$8,'Planes y paquetes'!$A$384:$BW$417,8,FALSE),0)</f>
        <v>0</v>
      </c>
      <c r="AM25" s="92">
        <f>IFERROR(VLOOKUP(AM$8,'Planes y paquetes'!$A$384:$BW$417,8,FALSE),0)</f>
        <v>0</v>
      </c>
      <c r="AN25" s="92">
        <f>IFERROR(VLOOKUP(AN$8,'Planes y paquetes'!$A$384:$BW$417,8,FALSE),0)</f>
        <v>0</v>
      </c>
      <c r="AO25" s="92">
        <f>IFERROR(VLOOKUP(AO$8,'Planes y paquetes'!$A$384:$BW$417,8,FALSE),0)</f>
        <v>0</v>
      </c>
      <c r="AP25" s="92">
        <f>IFERROR(VLOOKUP(AP$8,'Planes y paquetes'!$A$384:$BW$417,8,FALSE),0)</f>
        <v>0</v>
      </c>
      <c r="AQ25" s="92">
        <f>IFERROR(VLOOKUP(AQ$8,'Planes y paquetes'!$A$384:$BW$417,8,FALSE),0)</f>
        <v>0</v>
      </c>
      <c r="AR25" s="92">
        <f>IFERROR(VLOOKUP(AR$8,'Planes y paquetes'!$A$384:$BW$417,8,FALSE),0)</f>
        <v>0</v>
      </c>
      <c r="AS25" s="336" t="s">
        <v>566</v>
      </c>
    </row>
    <row r="26" spans="1:45" ht="12">
      <c r="C26" s="96"/>
    </row>
    <row r="27" spans="1:45" ht="12">
      <c r="B27" s="94">
        <v>2.1</v>
      </c>
      <c r="C27" s="94" t="s">
        <v>567</v>
      </c>
      <c r="D27" s="94"/>
      <c r="E27" s="94"/>
      <c r="F27" s="94"/>
      <c r="G27" s="94"/>
      <c r="H27" s="94"/>
      <c r="I27" s="338">
        <f>I28</f>
        <v>156.55000000000001</v>
      </c>
      <c r="J27" s="338">
        <f t="shared" ref="J27:AR27" si="11">J28</f>
        <v>198</v>
      </c>
      <c r="K27" s="338">
        <f t="shared" si="11"/>
        <v>156.55000000000001</v>
      </c>
      <c r="L27" s="338">
        <f t="shared" si="11"/>
        <v>156.55000000000001</v>
      </c>
      <c r="M27" s="338">
        <f>M28</f>
        <v>156.55000000000001</v>
      </c>
      <c r="N27" s="338">
        <f t="shared" si="11"/>
        <v>156.55000000000001</v>
      </c>
      <c r="O27" s="338">
        <f t="shared" si="11"/>
        <v>156.55000000000001</v>
      </c>
      <c r="P27" s="338">
        <f t="shared" si="11"/>
        <v>156.55000000000001</v>
      </c>
      <c r="Q27" s="338">
        <f t="shared" si="11"/>
        <v>156.55000000000001</v>
      </c>
      <c r="R27" s="338">
        <f t="shared" si="11"/>
        <v>156.55000000000001</v>
      </c>
      <c r="S27" s="338">
        <f>S28</f>
        <v>156.55000000000001</v>
      </c>
      <c r="T27" s="338">
        <f t="shared" si="11"/>
        <v>156.55000000000001</v>
      </c>
      <c r="U27" s="338">
        <f t="shared" si="11"/>
        <v>0</v>
      </c>
      <c r="V27" s="338">
        <f t="shared" si="11"/>
        <v>0</v>
      </c>
      <c r="W27" s="338">
        <f t="shared" si="11"/>
        <v>0</v>
      </c>
      <c r="X27" s="338">
        <f t="shared" si="11"/>
        <v>0</v>
      </c>
      <c r="Y27" s="338">
        <f t="shared" si="11"/>
        <v>0</v>
      </c>
      <c r="Z27" s="338">
        <f>Z28</f>
        <v>0</v>
      </c>
      <c r="AA27" s="338">
        <f t="shared" si="11"/>
        <v>0</v>
      </c>
      <c r="AB27" s="338">
        <f t="shared" si="11"/>
        <v>198</v>
      </c>
      <c r="AC27" s="338">
        <f t="shared" si="11"/>
        <v>198</v>
      </c>
      <c r="AD27" s="338">
        <f t="shared" si="11"/>
        <v>198</v>
      </c>
      <c r="AE27" s="338">
        <f t="shared" si="11"/>
        <v>198</v>
      </c>
      <c r="AF27" s="338">
        <f t="shared" si="11"/>
        <v>198</v>
      </c>
      <c r="AG27" s="338">
        <f t="shared" si="11"/>
        <v>198</v>
      </c>
      <c r="AH27" s="338">
        <f>AH28</f>
        <v>198</v>
      </c>
      <c r="AI27" s="338">
        <f t="shared" si="11"/>
        <v>198</v>
      </c>
      <c r="AJ27" s="338">
        <f t="shared" si="11"/>
        <v>0</v>
      </c>
      <c r="AK27" s="338">
        <f>AK28</f>
        <v>0</v>
      </c>
      <c r="AL27" s="338">
        <f t="shared" si="11"/>
        <v>0</v>
      </c>
      <c r="AM27" s="338">
        <f t="shared" si="11"/>
        <v>0</v>
      </c>
      <c r="AN27" s="338">
        <f t="shared" si="11"/>
        <v>0</v>
      </c>
      <c r="AO27" s="338">
        <f t="shared" si="11"/>
        <v>0</v>
      </c>
      <c r="AP27" s="338">
        <f t="shared" si="11"/>
        <v>0</v>
      </c>
      <c r="AQ27" s="338">
        <f t="shared" si="11"/>
        <v>0</v>
      </c>
      <c r="AR27" s="338">
        <f t="shared" si="11"/>
        <v>0</v>
      </c>
      <c r="AS27" s="336" t="s">
        <v>568</v>
      </c>
    </row>
    <row r="28" spans="1:45" ht="12">
      <c r="C28" s="97" t="s">
        <v>569</v>
      </c>
      <c r="G28" s="16" t="s">
        <v>570</v>
      </c>
      <c r="H28" t="s">
        <v>571</v>
      </c>
      <c r="I28" s="339">
        <v>156.55000000000001</v>
      </c>
      <c r="J28" s="339">
        <v>198</v>
      </c>
      <c r="K28" s="340">
        <f>IF(K5&lt;&gt;"Internet fijo", IF(K7="Residencial",$I$28,$J$28),0)</f>
        <v>156.55000000000001</v>
      </c>
      <c r="L28" s="340">
        <f t="shared" ref="L28:AR28" si="12">IF(L5&lt;&gt;"Internet fijo", IF(L7="Residencial",$I$28,$J$28),0)</f>
        <v>156.55000000000001</v>
      </c>
      <c r="M28" s="340">
        <f t="shared" si="12"/>
        <v>156.55000000000001</v>
      </c>
      <c r="N28" s="340">
        <f t="shared" si="12"/>
        <v>156.55000000000001</v>
      </c>
      <c r="O28" s="340">
        <f t="shared" si="12"/>
        <v>156.55000000000001</v>
      </c>
      <c r="P28" s="340">
        <f t="shared" si="12"/>
        <v>156.55000000000001</v>
      </c>
      <c r="Q28" s="340">
        <f t="shared" si="12"/>
        <v>156.55000000000001</v>
      </c>
      <c r="R28" s="340">
        <f t="shared" si="12"/>
        <v>156.55000000000001</v>
      </c>
      <c r="S28" s="340">
        <f t="shared" si="12"/>
        <v>156.55000000000001</v>
      </c>
      <c r="T28" s="340">
        <f t="shared" si="12"/>
        <v>156.55000000000001</v>
      </c>
      <c r="U28" s="340">
        <f t="shared" si="12"/>
        <v>0</v>
      </c>
      <c r="V28" s="340">
        <f t="shared" si="12"/>
        <v>0</v>
      </c>
      <c r="W28" s="340">
        <f t="shared" si="12"/>
        <v>0</v>
      </c>
      <c r="X28" s="340">
        <f t="shared" si="12"/>
        <v>0</v>
      </c>
      <c r="Y28" s="340">
        <f t="shared" si="12"/>
        <v>0</v>
      </c>
      <c r="Z28" s="340">
        <f t="shared" si="12"/>
        <v>0</v>
      </c>
      <c r="AA28" s="340">
        <f t="shared" si="12"/>
        <v>0</v>
      </c>
      <c r="AB28" s="340">
        <f t="shared" si="12"/>
        <v>198</v>
      </c>
      <c r="AC28" s="340">
        <f t="shared" si="12"/>
        <v>198</v>
      </c>
      <c r="AD28" s="340">
        <f t="shared" si="12"/>
        <v>198</v>
      </c>
      <c r="AE28" s="340">
        <f t="shared" si="12"/>
        <v>198</v>
      </c>
      <c r="AF28" s="340">
        <f t="shared" si="12"/>
        <v>198</v>
      </c>
      <c r="AG28" s="340">
        <f t="shared" si="12"/>
        <v>198</v>
      </c>
      <c r="AH28" s="340">
        <f t="shared" si="12"/>
        <v>198</v>
      </c>
      <c r="AI28" s="340">
        <f t="shared" si="12"/>
        <v>198</v>
      </c>
      <c r="AJ28" s="340">
        <f t="shared" si="12"/>
        <v>0</v>
      </c>
      <c r="AK28" s="340">
        <f t="shared" si="12"/>
        <v>0</v>
      </c>
      <c r="AL28" s="340">
        <f t="shared" si="12"/>
        <v>0</v>
      </c>
      <c r="AM28" s="340">
        <f t="shared" si="12"/>
        <v>0</v>
      </c>
      <c r="AN28" s="340">
        <f t="shared" si="12"/>
        <v>0</v>
      </c>
      <c r="AO28" s="340">
        <f t="shared" si="12"/>
        <v>0</v>
      </c>
      <c r="AP28" s="340">
        <f t="shared" si="12"/>
        <v>0</v>
      </c>
      <c r="AQ28" s="340">
        <f t="shared" si="12"/>
        <v>0</v>
      </c>
      <c r="AR28" s="340">
        <f t="shared" si="12"/>
        <v>0</v>
      </c>
    </row>
    <row r="29" spans="1:45" ht="12">
      <c r="AD29">
        <f>AD25*AD28</f>
        <v>396</v>
      </c>
    </row>
    <row r="30" spans="1:45" ht="12">
      <c r="B30" s="94">
        <v>2.2000000000000002</v>
      </c>
      <c r="C30" s="94" t="s">
        <v>572</v>
      </c>
      <c r="D30" s="94"/>
      <c r="E30" s="94"/>
      <c r="F30" s="94"/>
      <c r="G30" s="341" t="s">
        <v>570</v>
      </c>
      <c r="H30" s="94" t="s">
        <v>573</v>
      </c>
      <c r="I30" s="342">
        <v>0</v>
      </c>
      <c r="J30" s="342">
        <v>0</v>
      </c>
      <c r="K30" s="338">
        <f>IFERROR(VLOOKUP(K$3,Precios!$C$280:$Z$321,23,FALSE),0)</f>
        <v>0</v>
      </c>
      <c r="L30" s="338">
        <f>IFERROR(VLOOKUP(L$3,Precios!$C$280:$Z$321,23,FALSE),0)</f>
        <v>5</v>
      </c>
      <c r="M30" s="338">
        <f>IFERROR(VLOOKUP(M$3,Precios!$C$280:$Z$321,23,FALSE),0)</f>
        <v>7</v>
      </c>
      <c r="N30" s="338">
        <f>IFERROR(VLOOKUP(N$3,Precios!$C$280:$Z$321,23,FALSE),0)</f>
        <v>31</v>
      </c>
      <c r="O30" s="338">
        <f>IFERROR(VLOOKUP(O$3,Precios!$C$280:$Z$321,23,FALSE),0)</f>
        <v>36</v>
      </c>
      <c r="P30" s="338">
        <f>IFERROR(VLOOKUP(P$3,Precios!$C$280:$Z$321,23,FALSE),0)</f>
        <v>41</v>
      </c>
      <c r="Q30" s="338">
        <f>IFERROR(VLOOKUP(Q$3,Precios!$C$280:$Z$321,23,FALSE),0)</f>
        <v>47</v>
      </c>
      <c r="R30" s="338">
        <f>IFERROR(VLOOKUP(R$3,Precios!$C$280:$Z$321,23,FALSE),0)</f>
        <v>44</v>
      </c>
      <c r="S30" s="338">
        <f>IFERROR(VLOOKUP(S$3,Precios!$C$280:$Z$321,23,FALSE),0)</f>
        <v>35</v>
      </c>
      <c r="T30" s="338">
        <f>IFERROR(VLOOKUP(T$3,Precios!$C$280:$Z$321,23,FALSE),0)</f>
        <v>18</v>
      </c>
      <c r="U30" s="338">
        <f>IFERROR(VLOOKUP(U$3,Precios!$C$280:$Z$321,23,FALSE),0)</f>
        <v>0</v>
      </c>
      <c r="V30" s="338">
        <f>IFERROR(VLOOKUP(V$3,Precios!$C$280:$Z$321,23,FALSE),0)</f>
        <v>0</v>
      </c>
      <c r="W30" s="338">
        <f>IFERROR(VLOOKUP(W$3,Precios!$C$280:$Z$321,23,FALSE),0)</f>
        <v>0</v>
      </c>
      <c r="X30" s="338">
        <f>IFERROR(VLOOKUP(X$3,Precios!$C$280:$Z$321,23,FALSE),0)</f>
        <v>0</v>
      </c>
      <c r="Y30" s="338">
        <f>IFERROR(VLOOKUP(Y$3,Precios!$C$280:$Z$321,23,FALSE),0)</f>
        <v>0</v>
      </c>
      <c r="Z30" s="338">
        <f>IFERROR(VLOOKUP(Z$3,Precios!$C$280:$Z$321,23,FALSE),0)</f>
        <v>0</v>
      </c>
      <c r="AA30" s="338">
        <f>IFERROR(VLOOKUP(AA$3,Precios!$C$280:$Z$321,23,FALSE),0)</f>
        <v>0</v>
      </c>
      <c r="AB30" s="338">
        <f>IFERROR(VLOOKUP(AB$3,Precios!$C$280:$Z$321,23,FALSE),0)</f>
        <v>37</v>
      </c>
      <c r="AC30" s="338">
        <f>IFERROR(VLOOKUP(AC$3,Precios!$C$280:$Z$321,23,FALSE),0)</f>
        <v>35</v>
      </c>
      <c r="AD30" s="338">
        <f>IFERROR(VLOOKUP(AD$3,Precios!$C$280:$Z$321,23,FALSE),0)</f>
        <v>49</v>
      </c>
      <c r="AE30" s="338">
        <f>IFERROR(VLOOKUP(AE$3,Precios!$C$280:$Z$321,23,FALSE),0)</f>
        <v>44</v>
      </c>
      <c r="AF30" s="338">
        <f>IFERROR(VLOOKUP(AF$3,Precios!$C$280:$Z$321,23,FALSE),0)</f>
        <v>38</v>
      </c>
      <c r="AG30" s="338">
        <f>IFERROR(VLOOKUP(AG$3,Precios!$C$280:$Z$321,23,FALSE),0)</f>
        <v>50</v>
      </c>
      <c r="AH30" s="338">
        <f>IFERROR(VLOOKUP(AH$3,Precios!$C$280:$Z$321,23,FALSE),0)</f>
        <v>53</v>
      </c>
      <c r="AI30" s="338">
        <f>IFERROR(VLOOKUP(AI$3,Precios!$C$280:$Z$321,23,FALSE),0)</f>
        <v>53</v>
      </c>
      <c r="AJ30" s="338">
        <f>IFERROR(VLOOKUP(AJ$3,Precios!$C$280:$Z$321,23,FALSE),0)</f>
        <v>0</v>
      </c>
      <c r="AK30" s="338">
        <f>IFERROR(VLOOKUP(AK$3,Precios!$C$280:$Z$321,23,FALSE),0)</f>
        <v>0</v>
      </c>
      <c r="AL30" s="338">
        <f>IFERROR(VLOOKUP(AL$3,Precios!$C$280:$Z$321,23,FALSE),0)</f>
        <v>0</v>
      </c>
      <c r="AM30" s="338">
        <f>IFERROR(VLOOKUP(AM$3,Precios!$C$280:$Z$321,23,FALSE),0)</f>
        <v>0</v>
      </c>
      <c r="AN30" s="338">
        <f>IFERROR(VLOOKUP(AN$3,Precios!$C$280:$Z$321,23,FALSE),0)</f>
        <v>0</v>
      </c>
      <c r="AO30" s="338">
        <f>IFERROR(VLOOKUP(AO$3,Precios!$C$280:$Z$321,23,FALSE),0)</f>
        <v>0</v>
      </c>
      <c r="AP30" s="338">
        <f>IFERROR(VLOOKUP(AP$3,Precios!$C$280:$Z$321,23,FALSE),0)</f>
        <v>0</v>
      </c>
      <c r="AQ30" s="338">
        <f>IFERROR(VLOOKUP(AQ$3,Precios!$C$280:$Z$321,23,FALSE),0)</f>
        <v>0</v>
      </c>
      <c r="AR30" s="338">
        <f>IFERROR(VLOOKUP(AR$3,Precios!$C$280:$Z$321,23,FALSE),0)</f>
        <v>0</v>
      </c>
      <c r="AS30" s="336" t="s">
        <v>574</v>
      </c>
    </row>
    <row r="31" spans="1:45" ht="12"/>
    <row r="32" spans="1:45" ht="12">
      <c r="I32" s="343"/>
    </row>
    <row r="33" spans="2:45" ht="12"/>
    <row r="34" spans="2:45" ht="12">
      <c r="B34" s="94">
        <v>2.2999999999999998</v>
      </c>
      <c r="C34" s="94" t="s">
        <v>575</v>
      </c>
      <c r="D34" s="94"/>
      <c r="E34" s="94"/>
      <c r="F34" s="94"/>
      <c r="G34" s="94"/>
      <c r="H34" s="94"/>
      <c r="I34" s="338">
        <f>I40</f>
        <v>2.5</v>
      </c>
      <c r="J34" s="338">
        <f t="shared" ref="J34:AR34" si="13">J40</f>
        <v>0</v>
      </c>
      <c r="K34" s="338">
        <f t="shared" si="13"/>
        <v>0</v>
      </c>
      <c r="L34" s="338">
        <f t="shared" si="13"/>
        <v>0</v>
      </c>
      <c r="M34" s="338">
        <f t="shared" si="13"/>
        <v>0</v>
      </c>
      <c r="N34" s="338">
        <f>N40</f>
        <v>77.5</v>
      </c>
      <c r="O34" s="338">
        <f t="shared" si="13"/>
        <v>77.5</v>
      </c>
      <c r="P34" s="338">
        <f t="shared" si="13"/>
        <v>77.5</v>
      </c>
      <c r="Q34" s="338">
        <f t="shared" si="13"/>
        <v>77.5</v>
      </c>
      <c r="R34" s="338">
        <f t="shared" si="13"/>
        <v>77.5</v>
      </c>
      <c r="S34" s="338">
        <f t="shared" si="13"/>
        <v>77.5</v>
      </c>
      <c r="T34" s="338">
        <f t="shared" si="13"/>
        <v>77.5</v>
      </c>
      <c r="U34" s="338">
        <f t="shared" si="13"/>
        <v>0</v>
      </c>
      <c r="V34" s="338">
        <f t="shared" si="13"/>
        <v>0</v>
      </c>
      <c r="W34" s="338">
        <f t="shared" si="13"/>
        <v>0</v>
      </c>
      <c r="X34" s="338">
        <f t="shared" si="13"/>
        <v>0</v>
      </c>
      <c r="Y34" s="338">
        <f t="shared" si="13"/>
        <v>0</v>
      </c>
      <c r="Z34" s="338">
        <f>Z40</f>
        <v>0</v>
      </c>
      <c r="AA34" s="338">
        <f t="shared" si="13"/>
        <v>0</v>
      </c>
      <c r="AB34" s="338">
        <f t="shared" si="13"/>
        <v>80</v>
      </c>
      <c r="AC34" s="338">
        <f t="shared" si="13"/>
        <v>80</v>
      </c>
      <c r="AD34" s="338">
        <f t="shared" si="13"/>
        <v>80</v>
      </c>
      <c r="AE34" s="338">
        <f t="shared" si="13"/>
        <v>80</v>
      </c>
      <c r="AF34" s="338">
        <f t="shared" si="13"/>
        <v>80</v>
      </c>
      <c r="AG34" s="338">
        <f t="shared" si="13"/>
        <v>80</v>
      </c>
      <c r="AH34" s="338">
        <f t="shared" si="13"/>
        <v>80</v>
      </c>
      <c r="AI34" s="338">
        <f t="shared" si="13"/>
        <v>80</v>
      </c>
      <c r="AJ34" s="338">
        <f t="shared" si="13"/>
        <v>0</v>
      </c>
      <c r="AK34" s="338">
        <f t="shared" si="13"/>
        <v>0</v>
      </c>
      <c r="AL34" s="338">
        <f t="shared" si="13"/>
        <v>0</v>
      </c>
      <c r="AM34" s="338">
        <f t="shared" si="13"/>
        <v>0</v>
      </c>
      <c r="AN34" s="338">
        <f t="shared" si="13"/>
        <v>0</v>
      </c>
      <c r="AO34" s="338">
        <f t="shared" si="13"/>
        <v>0</v>
      </c>
      <c r="AP34" s="338">
        <f t="shared" si="13"/>
        <v>0</v>
      </c>
      <c r="AQ34" s="338">
        <f t="shared" si="13"/>
        <v>0</v>
      </c>
      <c r="AR34" s="338">
        <f t="shared" si="13"/>
        <v>0</v>
      </c>
      <c r="AS34" s="336" t="s">
        <v>576</v>
      </c>
    </row>
    <row r="35" spans="2:45" ht="12"/>
    <row r="36" spans="2:45" ht="12">
      <c r="C36" t="s">
        <v>577</v>
      </c>
      <c r="G36" s="16" t="s">
        <v>158</v>
      </c>
      <c r="H36" t="s">
        <v>538</v>
      </c>
      <c r="I36" s="337">
        <v>3</v>
      </c>
      <c r="J36" s="337">
        <f>IFERROR(VLOOKUP(J$3,#REF!,11,FALSE),0)</f>
        <v>0</v>
      </c>
      <c r="K36" s="92">
        <f>IFERROR(VLOOKUP(K$8,'Planes y paquetes'!$A$384:$BW$417,13,FALSE),0)</f>
        <v>0</v>
      </c>
      <c r="L36" s="92">
        <f>IFERROR(VLOOKUP(L$8,'Planes y paquetes'!$A$384:$BW$417,13,FALSE),0)</f>
        <v>0</v>
      </c>
      <c r="M36" s="92">
        <f>IFERROR(VLOOKUP(M$8,'Planes y paquetes'!$A$384:$BW$417,13,FALSE),0)</f>
        <v>0</v>
      </c>
      <c r="N36" s="92">
        <f>IFERROR(VLOOKUP(N$8,'Planes y paquetes'!$A$384:$BW$417,13,FALSE),0)</f>
        <v>5</v>
      </c>
      <c r="O36" s="92">
        <f>IFERROR(VLOOKUP(O$8,'Planes y paquetes'!$A$384:$BW$417,13,FALSE),0)</f>
        <v>5</v>
      </c>
      <c r="P36" s="92">
        <f>IFERROR(VLOOKUP(P$8,'Planes y paquetes'!$A$384:$BW$417,13,FALSE),0)</f>
        <v>5</v>
      </c>
      <c r="Q36" s="92">
        <f>IFERROR(VLOOKUP(Q$8,'Planes y paquetes'!$A$384:$BW$417,13,FALSE),0)</f>
        <v>5</v>
      </c>
      <c r="R36" s="92">
        <f>IFERROR(VLOOKUP(R$8,'Planes y paquetes'!$A$384:$BW$417,13,FALSE),0)</f>
        <v>5</v>
      </c>
      <c r="S36" s="92">
        <f>IFERROR(VLOOKUP(S$8,'Planes y paquetes'!$A$384:$BW$417,13,FALSE),0)</f>
        <v>5</v>
      </c>
      <c r="T36" s="92">
        <f>IFERROR(VLOOKUP(T$8,'Planes y paquetes'!$A$384:$BW$417,13,FALSE),0)</f>
        <v>5</v>
      </c>
      <c r="U36" s="92">
        <f>IFERROR(VLOOKUP(U$8,'Planes y paquetes'!$A$384:$BW$417,13,FALSE),0)</f>
        <v>0</v>
      </c>
      <c r="V36" s="92">
        <f>IFERROR(VLOOKUP(V$8,'Planes y paquetes'!$A$384:$BW$417,13,FALSE),0)</f>
        <v>0</v>
      </c>
      <c r="W36" s="92">
        <f>IFERROR(VLOOKUP(W$8,'Planes y paquetes'!$A$384:$BW$417,13,FALSE),0)</f>
        <v>0</v>
      </c>
      <c r="X36" s="92">
        <f>IFERROR(VLOOKUP(X$8,'Planes y paquetes'!$A$384:$BW$417,13,FALSE),0)</f>
        <v>0</v>
      </c>
      <c r="Y36" s="92">
        <f>IFERROR(VLOOKUP(Y$8,'Planes y paquetes'!$A$384:$BW$417,13,FALSE),0)</f>
        <v>0</v>
      </c>
      <c r="Z36" s="92">
        <f>IFERROR(VLOOKUP(Z$8,'Planes y paquetes'!$A$384:$BW$417,13,FALSE),0)</f>
        <v>0</v>
      </c>
      <c r="AA36" s="92">
        <f>IFERROR(VLOOKUP(AA$8,'Planes y paquetes'!$A$384:$BW$417,13,FALSE),0)</f>
        <v>0</v>
      </c>
      <c r="AB36" s="92">
        <f>IFERROR(VLOOKUP(AB$8,'Planes y paquetes'!$A$384:$BW$417,13,FALSE),0)</f>
        <v>5</v>
      </c>
      <c r="AC36" s="92">
        <f>IFERROR(VLOOKUP(AC$8,'Planes y paquetes'!$A$384:$BW$417,13,FALSE),0)</f>
        <v>5</v>
      </c>
      <c r="AD36" s="92">
        <f>IFERROR(VLOOKUP(AD$8,'Planes y paquetes'!$A$384:$BW$417,13,FALSE),0)</f>
        <v>5</v>
      </c>
      <c r="AE36" s="92">
        <f>IFERROR(VLOOKUP(AE$8,'Planes y paquetes'!$A$384:$BW$417,13,FALSE),0)</f>
        <v>5</v>
      </c>
      <c r="AF36" s="92">
        <f>IFERROR(VLOOKUP(AF$8,'Planes y paquetes'!$A$384:$BW$417,13,FALSE),0)</f>
        <v>5</v>
      </c>
      <c r="AG36" s="92">
        <f>IFERROR(VLOOKUP(AG$8,'Planes y paquetes'!$A$384:$BW$417,13,FALSE),0)</f>
        <v>5</v>
      </c>
      <c r="AH36" s="92">
        <f>IFERROR(VLOOKUP(AH$8,'Planes y paquetes'!$A$384:$BW$417,13,FALSE),0)</f>
        <v>5</v>
      </c>
      <c r="AI36" s="92">
        <f>IFERROR(VLOOKUP(AI$8,'Planes y paquetes'!$A$384:$BW$417,13,FALSE),0)</f>
        <v>5</v>
      </c>
      <c r="AJ36" s="92">
        <f>IFERROR(VLOOKUP(AJ$8,'Planes y paquetes'!$A$384:$BW$417,13,FALSE),0)</f>
        <v>0</v>
      </c>
      <c r="AK36" s="92">
        <f>IFERROR(VLOOKUP(AK$8,'Planes y paquetes'!$A$384:$BW$417,13,FALSE),0)</f>
        <v>0</v>
      </c>
      <c r="AL36" s="92">
        <f>IFERROR(VLOOKUP(AL$8,'Planes y paquetes'!$A$384:$BW$417,13,FALSE),0)</f>
        <v>0</v>
      </c>
      <c r="AM36" s="92">
        <f>IFERROR(VLOOKUP(AM$8,'Planes y paquetes'!$A$384:$BW$417,13,FALSE),0)</f>
        <v>0</v>
      </c>
      <c r="AN36" s="92">
        <f>IFERROR(VLOOKUP(AN$8,'Planes y paquetes'!$A$384:$BW$417,13,FALSE),0)</f>
        <v>0</v>
      </c>
      <c r="AO36" s="92">
        <f>IFERROR(VLOOKUP(AO$8,'Planes y paquetes'!$A$384:$BW$417,13,FALSE),0)</f>
        <v>0</v>
      </c>
      <c r="AP36" s="92">
        <f>IFERROR(VLOOKUP(AP$8,'Planes y paquetes'!$A$384:$BW$417,13,FALSE),0)</f>
        <v>0</v>
      </c>
      <c r="AQ36" s="92">
        <f>IFERROR(VLOOKUP(AQ$8,'Planes y paquetes'!$A$384:$BW$417,13,FALSE),0)</f>
        <v>0</v>
      </c>
      <c r="AR36" s="92">
        <f>IFERROR(VLOOKUP(AR$8,'Planes y paquetes'!$A$384:$BW$417,13,FALSE),0)</f>
        <v>0</v>
      </c>
    </row>
    <row r="37" spans="2:45" ht="12"/>
    <row r="38" spans="2:45" ht="12">
      <c r="C38" s="97" t="s">
        <v>578</v>
      </c>
      <c r="G38" s="16" t="s">
        <v>570</v>
      </c>
      <c r="H38" t="s">
        <v>571</v>
      </c>
      <c r="I38" s="344">
        <f>I36*3*unit.cost.digital.service.3/(12*years.client.retention)</f>
        <v>2.5</v>
      </c>
      <c r="J38" s="345">
        <f>J36*unit.cost.digital.service.5</f>
        <v>0</v>
      </c>
      <c r="K38" s="340">
        <f t="shared" ref="K38:AP38" si="14">IF(K36&gt;0,IF(K7="Residencial",5*unit.cost.digital.service.5-3*3*unit.cost.digital.service.3/(12*years.client.retention),K36*unit.cost.digital.service.5),0)</f>
        <v>0</v>
      </c>
      <c r="L38" s="340">
        <f t="shared" si="14"/>
        <v>0</v>
      </c>
      <c r="M38" s="340">
        <f t="shared" si="14"/>
        <v>0</v>
      </c>
      <c r="N38" s="340">
        <f t="shared" si="14"/>
        <v>77.5</v>
      </c>
      <c r="O38" s="340">
        <f t="shared" si="14"/>
        <v>77.5</v>
      </c>
      <c r="P38" s="340">
        <f t="shared" si="14"/>
        <v>77.5</v>
      </c>
      <c r="Q38" s="340">
        <f t="shared" si="14"/>
        <v>77.5</v>
      </c>
      <c r="R38" s="340">
        <f t="shared" si="14"/>
        <v>77.5</v>
      </c>
      <c r="S38" s="340">
        <f t="shared" si="14"/>
        <v>77.5</v>
      </c>
      <c r="T38" s="340">
        <f t="shared" si="14"/>
        <v>77.5</v>
      </c>
      <c r="U38" s="340">
        <f t="shared" si="14"/>
        <v>0</v>
      </c>
      <c r="V38" s="340">
        <f t="shared" si="14"/>
        <v>0</v>
      </c>
      <c r="W38" s="340">
        <f t="shared" si="14"/>
        <v>0</v>
      </c>
      <c r="X38" s="340">
        <f t="shared" si="14"/>
        <v>0</v>
      </c>
      <c r="Y38" s="340">
        <f t="shared" si="14"/>
        <v>0</v>
      </c>
      <c r="Z38" s="340">
        <f t="shared" si="14"/>
        <v>0</v>
      </c>
      <c r="AA38" s="340">
        <f t="shared" si="14"/>
        <v>0</v>
      </c>
      <c r="AB38" s="340">
        <f t="shared" si="14"/>
        <v>80</v>
      </c>
      <c r="AC38" s="340">
        <f t="shared" si="14"/>
        <v>80</v>
      </c>
      <c r="AD38" s="340">
        <f t="shared" si="14"/>
        <v>80</v>
      </c>
      <c r="AE38" s="340">
        <f t="shared" si="14"/>
        <v>80</v>
      </c>
      <c r="AF38" s="340">
        <f t="shared" si="14"/>
        <v>80</v>
      </c>
      <c r="AG38" s="340">
        <f t="shared" si="14"/>
        <v>80</v>
      </c>
      <c r="AH38" s="340">
        <f t="shared" si="14"/>
        <v>80</v>
      </c>
      <c r="AI38" s="340">
        <f t="shared" si="14"/>
        <v>80</v>
      </c>
      <c r="AJ38" s="340">
        <f t="shared" si="14"/>
        <v>0</v>
      </c>
      <c r="AK38" s="340">
        <f t="shared" si="14"/>
        <v>0</v>
      </c>
      <c r="AL38" s="340">
        <f t="shared" si="14"/>
        <v>0</v>
      </c>
      <c r="AM38" s="340">
        <f t="shared" si="14"/>
        <v>0</v>
      </c>
      <c r="AN38" s="340">
        <f t="shared" si="14"/>
        <v>0</v>
      </c>
      <c r="AO38" s="340">
        <f t="shared" si="14"/>
        <v>0</v>
      </c>
      <c r="AP38" s="340">
        <f t="shared" si="14"/>
        <v>0</v>
      </c>
      <c r="AQ38" s="340">
        <f>IF(AQ36&gt;0,IF(AQ7="Residencial",5*unit.cost.digital.service.5-3*3*unit.cost.digital.service.3/(12*years.client.retention),AQ36*unit.cost.digital.service.5),0)</f>
        <v>0</v>
      </c>
      <c r="AR38" s="340">
        <f>IF(AR36&gt;0,IF(AR7="Residencial",5*unit.cost.digital.service.5-3*3*unit.cost.digital.service.3/(12*years.client.retention),AR36*unit.cost.digital.service.5),0)</f>
        <v>0</v>
      </c>
    </row>
    <row r="39" spans="2:45" ht="12">
      <c r="C39" s="97"/>
      <c r="G39" s="16"/>
    </row>
    <row r="40" spans="2:45" ht="12">
      <c r="C40" s="97" t="s">
        <v>579</v>
      </c>
      <c r="G40" s="16" t="s">
        <v>570</v>
      </c>
      <c r="H40" t="s">
        <v>571</v>
      </c>
      <c r="I40" s="340">
        <f>I38</f>
        <v>2.5</v>
      </c>
      <c r="J40" s="340">
        <f t="shared" ref="J40:AR40" si="15">J38</f>
        <v>0</v>
      </c>
      <c r="K40" s="340">
        <f t="shared" si="15"/>
        <v>0</v>
      </c>
      <c r="L40" s="340">
        <f t="shared" si="15"/>
        <v>0</v>
      </c>
      <c r="M40" s="340">
        <f t="shared" si="15"/>
        <v>0</v>
      </c>
      <c r="N40" s="340">
        <f t="shared" si="15"/>
        <v>77.5</v>
      </c>
      <c r="O40" s="340">
        <f t="shared" si="15"/>
        <v>77.5</v>
      </c>
      <c r="P40" s="340">
        <f t="shared" si="15"/>
        <v>77.5</v>
      </c>
      <c r="Q40" s="340">
        <f t="shared" si="15"/>
        <v>77.5</v>
      </c>
      <c r="R40" s="340">
        <f t="shared" si="15"/>
        <v>77.5</v>
      </c>
      <c r="S40" s="340">
        <f t="shared" si="15"/>
        <v>77.5</v>
      </c>
      <c r="T40" s="340">
        <f t="shared" si="15"/>
        <v>77.5</v>
      </c>
      <c r="U40" s="340">
        <f t="shared" si="15"/>
        <v>0</v>
      </c>
      <c r="V40" s="340">
        <f t="shared" si="15"/>
        <v>0</v>
      </c>
      <c r="W40" s="340">
        <f t="shared" si="15"/>
        <v>0</v>
      </c>
      <c r="X40" s="340">
        <f t="shared" si="15"/>
        <v>0</v>
      </c>
      <c r="Y40" s="340">
        <f t="shared" si="15"/>
        <v>0</v>
      </c>
      <c r="Z40" s="340">
        <f t="shared" si="15"/>
        <v>0</v>
      </c>
      <c r="AA40" s="340">
        <f t="shared" si="15"/>
        <v>0</v>
      </c>
      <c r="AB40" s="340">
        <f t="shared" si="15"/>
        <v>80</v>
      </c>
      <c r="AC40" s="340">
        <f t="shared" si="15"/>
        <v>80</v>
      </c>
      <c r="AD40" s="340">
        <f t="shared" si="15"/>
        <v>80</v>
      </c>
      <c r="AE40" s="340">
        <f t="shared" si="15"/>
        <v>80</v>
      </c>
      <c r="AF40" s="340">
        <f t="shared" si="15"/>
        <v>80</v>
      </c>
      <c r="AG40" s="340">
        <f t="shared" si="15"/>
        <v>80</v>
      </c>
      <c r="AH40" s="340">
        <f t="shared" si="15"/>
        <v>80</v>
      </c>
      <c r="AI40" s="340">
        <f t="shared" si="15"/>
        <v>80</v>
      </c>
      <c r="AJ40" s="340">
        <f t="shared" si="15"/>
        <v>0</v>
      </c>
      <c r="AK40" s="340">
        <f t="shared" si="15"/>
        <v>0</v>
      </c>
      <c r="AL40" s="340">
        <f t="shared" si="15"/>
        <v>0</v>
      </c>
      <c r="AM40" s="340">
        <f t="shared" si="15"/>
        <v>0</v>
      </c>
      <c r="AN40" s="340">
        <f t="shared" si="15"/>
        <v>0</v>
      </c>
      <c r="AO40" s="340">
        <f t="shared" si="15"/>
        <v>0</v>
      </c>
      <c r="AP40" s="340">
        <f t="shared" si="15"/>
        <v>0</v>
      </c>
      <c r="AQ40" s="340">
        <f t="shared" si="15"/>
        <v>0</v>
      </c>
      <c r="AR40" s="340">
        <f t="shared" si="15"/>
        <v>0</v>
      </c>
    </row>
    <row r="41" spans="2:45" ht="12"/>
    <row r="42" spans="2:45" ht="12">
      <c r="B42" s="94">
        <v>2.4</v>
      </c>
      <c r="C42" s="94" t="s">
        <v>580</v>
      </c>
      <c r="D42" s="94"/>
      <c r="E42" s="94"/>
      <c r="F42" s="94"/>
      <c r="G42" s="94"/>
      <c r="H42" s="94"/>
    </row>
    <row r="43" spans="2:45" ht="12">
      <c r="AF43" s="228"/>
    </row>
    <row r="44" spans="2:45" ht="12">
      <c r="C44" s="97" t="s">
        <v>581</v>
      </c>
      <c r="G44" s="16" t="s">
        <v>223</v>
      </c>
      <c r="I44" s="159">
        <f>IFERROR(1-SUM(I27,I30)/SUM(I27,I30,I34),0)</f>
        <v>1.5718327569946511E-2</v>
      </c>
      <c r="J44" s="159">
        <f t="shared" ref="J44:AR44" si="16">IFERROR(1-SUM(J27,J30)/SUM(J27,J30,J34),0)</f>
        <v>0</v>
      </c>
      <c r="K44" s="159">
        <f t="shared" si="16"/>
        <v>0</v>
      </c>
      <c r="L44" s="159">
        <f t="shared" si="16"/>
        <v>0</v>
      </c>
      <c r="M44" s="159">
        <f t="shared" si="16"/>
        <v>0</v>
      </c>
      <c r="N44" s="159">
        <f t="shared" si="16"/>
        <v>0.29239766081871343</v>
      </c>
      <c r="O44" s="159">
        <f t="shared" si="16"/>
        <v>0.28698389187187556</v>
      </c>
      <c r="P44" s="159">
        <f t="shared" si="16"/>
        <v>0.28176695146337027</v>
      </c>
      <c r="Q44" s="159">
        <f t="shared" si="16"/>
        <v>0.27575164561465926</v>
      </c>
      <c r="R44" s="159">
        <f t="shared" si="16"/>
        <v>0.27872684768926448</v>
      </c>
      <c r="S44" s="159">
        <f t="shared" si="16"/>
        <v>0.2880505482252369</v>
      </c>
      <c r="T44" s="159">
        <f t="shared" si="16"/>
        <v>0.30747867486609803</v>
      </c>
      <c r="U44" s="159">
        <f t="shared" si="16"/>
        <v>0</v>
      </c>
      <c r="V44" s="159">
        <f t="shared" si="16"/>
        <v>0</v>
      </c>
      <c r="W44" s="159">
        <f t="shared" si="16"/>
        <v>0</v>
      </c>
      <c r="X44" s="159">
        <f t="shared" si="16"/>
        <v>0</v>
      </c>
      <c r="Y44" s="159">
        <f t="shared" si="16"/>
        <v>0</v>
      </c>
      <c r="Z44" s="159">
        <f t="shared" si="16"/>
        <v>0</v>
      </c>
      <c r="AA44" s="159">
        <f t="shared" si="16"/>
        <v>0</v>
      </c>
      <c r="AB44" s="159">
        <f t="shared" si="16"/>
        <v>0.25396825396825395</v>
      </c>
      <c r="AC44" s="159">
        <f t="shared" si="16"/>
        <v>0.25559105431309903</v>
      </c>
      <c r="AD44" s="159">
        <f t="shared" si="16"/>
        <v>0.24464831804281351</v>
      </c>
      <c r="AE44" s="159">
        <f t="shared" si="16"/>
        <v>0.24844720496894412</v>
      </c>
      <c r="AF44" s="159">
        <f t="shared" si="16"/>
        <v>0.25316455696202533</v>
      </c>
      <c r="AG44" s="159">
        <f t="shared" si="16"/>
        <v>0.24390243902439024</v>
      </c>
      <c r="AH44" s="159">
        <f t="shared" si="16"/>
        <v>0.2416918429003021</v>
      </c>
      <c r="AI44" s="159">
        <f t="shared" si="16"/>
        <v>0.2416918429003021</v>
      </c>
      <c r="AJ44" s="159">
        <f t="shared" si="16"/>
        <v>0</v>
      </c>
      <c r="AK44" s="159">
        <f t="shared" si="16"/>
        <v>0</v>
      </c>
      <c r="AL44" s="159">
        <f t="shared" si="16"/>
        <v>0</v>
      </c>
      <c r="AM44" s="159">
        <f t="shared" si="16"/>
        <v>0</v>
      </c>
      <c r="AN44" s="159">
        <f t="shared" si="16"/>
        <v>0</v>
      </c>
      <c r="AO44" s="159">
        <f t="shared" si="16"/>
        <v>0</v>
      </c>
      <c r="AP44" s="159">
        <f t="shared" si="16"/>
        <v>0</v>
      </c>
      <c r="AQ44" s="159">
        <f t="shared" si="16"/>
        <v>0</v>
      </c>
      <c r="AR44" s="159">
        <f t="shared" si="16"/>
        <v>0</v>
      </c>
    </row>
    <row r="45" spans="2:45" ht="12">
      <c r="C45" s="97"/>
      <c r="G45" s="16" t="s">
        <v>223</v>
      </c>
      <c r="H45" s="346">
        <f>SUMPRODUCT(I44:AR44,vector.users.distribution.telephone)</f>
        <v>0.22969609572316677</v>
      </c>
    </row>
    <row r="46" spans="2:45" ht="12">
      <c r="C46" s="97"/>
      <c r="G46" s="16"/>
      <c r="I46" s="228"/>
      <c r="J46" s="228"/>
      <c r="K46" s="228"/>
      <c r="L46" s="228"/>
    </row>
    <row r="47" spans="2:45" ht="12">
      <c r="I47" s="228"/>
    </row>
    <row r="48" spans="2:45" ht="12">
      <c r="B48">
        <v>2.5</v>
      </c>
      <c r="C48" s="94" t="s">
        <v>582</v>
      </c>
      <c r="D48" s="94"/>
      <c r="E48" s="94"/>
      <c r="F48" s="94"/>
      <c r="G48" s="94"/>
      <c r="H48" s="94"/>
      <c r="I48" s="338">
        <f>SUM(I49:I51)</f>
        <v>156.55000000000001</v>
      </c>
      <c r="J48" s="338">
        <f>SUM(J49:J51)</f>
        <v>198</v>
      </c>
      <c r="K48" s="338">
        <f t="shared" ref="K48:Y48" si="17">SUM(K49:K51)</f>
        <v>156.55000000000001</v>
      </c>
      <c r="L48" s="338">
        <f t="shared" si="17"/>
        <v>161.55000000000001</v>
      </c>
      <c r="M48" s="338">
        <f t="shared" si="17"/>
        <v>163.55000000000001</v>
      </c>
      <c r="N48" s="338">
        <f t="shared" si="17"/>
        <v>187.55</v>
      </c>
      <c r="O48" s="338">
        <f t="shared" si="17"/>
        <v>192.55</v>
      </c>
      <c r="P48" s="338">
        <f t="shared" si="17"/>
        <v>197.55000000000004</v>
      </c>
      <c r="Q48" s="338">
        <f t="shared" si="17"/>
        <v>203.55000000000004</v>
      </c>
      <c r="R48" s="338">
        <f t="shared" si="17"/>
        <v>200.55000000000004</v>
      </c>
      <c r="S48" s="338">
        <f t="shared" si="17"/>
        <v>191.55</v>
      </c>
      <c r="T48" s="338">
        <f t="shared" si="17"/>
        <v>174.55</v>
      </c>
      <c r="U48" s="338">
        <f t="shared" si="17"/>
        <v>0</v>
      </c>
      <c r="V48" s="338">
        <f t="shared" si="17"/>
        <v>0</v>
      </c>
      <c r="W48" s="338">
        <f t="shared" si="17"/>
        <v>0</v>
      </c>
      <c r="X48" s="338">
        <f t="shared" si="17"/>
        <v>0</v>
      </c>
      <c r="Y48" s="338">
        <f t="shared" si="17"/>
        <v>0</v>
      </c>
      <c r="Z48" s="338">
        <f>SUM(Z49:Z51)</f>
        <v>0</v>
      </c>
      <c r="AA48" s="338">
        <f t="shared" ref="AA48:AR48" si="18">SUM(AA49:AA51)</f>
        <v>0</v>
      </c>
      <c r="AB48" s="338">
        <f t="shared" si="18"/>
        <v>235</v>
      </c>
      <c r="AC48" s="338">
        <f t="shared" si="18"/>
        <v>233</v>
      </c>
      <c r="AD48" s="338">
        <f t="shared" si="18"/>
        <v>246.99999999999997</v>
      </c>
      <c r="AE48" s="338">
        <f t="shared" si="18"/>
        <v>242</v>
      </c>
      <c r="AF48" s="338">
        <f>SUM(AF49:AF51)</f>
        <v>236</v>
      </c>
      <c r="AG48" s="338">
        <f t="shared" si="18"/>
        <v>248</v>
      </c>
      <c r="AH48" s="338">
        <f t="shared" si="18"/>
        <v>251</v>
      </c>
      <c r="AI48" s="338">
        <f t="shared" si="18"/>
        <v>251</v>
      </c>
      <c r="AJ48" s="338">
        <f t="shared" si="18"/>
        <v>0</v>
      </c>
      <c r="AK48" s="338">
        <f t="shared" si="18"/>
        <v>0</v>
      </c>
      <c r="AL48" s="338">
        <f t="shared" si="18"/>
        <v>0</v>
      </c>
      <c r="AM48" s="338">
        <f t="shared" si="18"/>
        <v>0</v>
      </c>
      <c r="AN48" s="338">
        <f t="shared" si="18"/>
        <v>0</v>
      </c>
      <c r="AO48" s="338">
        <f t="shared" si="18"/>
        <v>0</v>
      </c>
      <c r="AP48" s="338">
        <f t="shared" si="18"/>
        <v>0</v>
      </c>
      <c r="AQ48" s="338">
        <f>SUM(AQ49:AQ51)</f>
        <v>0</v>
      </c>
      <c r="AR48" s="338">
        <f t="shared" si="18"/>
        <v>0</v>
      </c>
    </row>
    <row r="49" spans="1:45" ht="12">
      <c r="C49" s="97" t="s">
        <v>583</v>
      </c>
      <c r="G49" s="16" t="s">
        <v>584</v>
      </c>
      <c r="H49" t="s">
        <v>585</v>
      </c>
      <c r="I49" s="347">
        <f t="shared" ref="I49:AR49" si="19">I27*(1-I$44)</f>
        <v>154.08929581892488</v>
      </c>
      <c r="J49" s="347">
        <f t="shared" si="19"/>
        <v>198</v>
      </c>
      <c r="K49" s="347">
        <f t="shared" si="19"/>
        <v>156.55000000000001</v>
      </c>
      <c r="L49" s="347">
        <f t="shared" si="19"/>
        <v>156.55000000000001</v>
      </c>
      <c r="M49" s="347">
        <f t="shared" si="19"/>
        <v>156.55000000000001</v>
      </c>
      <c r="N49" s="347">
        <f t="shared" si="19"/>
        <v>110.77514619883041</v>
      </c>
      <c r="O49" s="347">
        <f t="shared" si="19"/>
        <v>111.62267172745788</v>
      </c>
      <c r="P49" s="347">
        <f t="shared" si="19"/>
        <v>112.4393837484094</v>
      </c>
      <c r="Q49" s="347">
        <f t="shared" si="19"/>
        <v>113.38107987902511</v>
      </c>
      <c r="R49" s="347">
        <f t="shared" si="19"/>
        <v>112.91531199424566</v>
      </c>
      <c r="S49" s="347">
        <f t="shared" si="19"/>
        <v>111.45568667533917</v>
      </c>
      <c r="T49" s="347">
        <f t="shared" si="19"/>
        <v>108.41421344971236</v>
      </c>
      <c r="U49" s="347">
        <f t="shared" si="19"/>
        <v>0</v>
      </c>
      <c r="V49" s="347">
        <f t="shared" si="19"/>
        <v>0</v>
      </c>
      <c r="W49" s="347">
        <f t="shared" si="19"/>
        <v>0</v>
      </c>
      <c r="X49" s="347">
        <f t="shared" si="19"/>
        <v>0</v>
      </c>
      <c r="Y49" s="347">
        <f t="shared" si="19"/>
        <v>0</v>
      </c>
      <c r="Z49" s="347">
        <f t="shared" si="19"/>
        <v>0</v>
      </c>
      <c r="AA49" s="347">
        <f t="shared" si="19"/>
        <v>0</v>
      </c>
      <c r="AB49" s="347">
        <f t="shared" si="19"/>
        <v>147.71428571428572</v>
      </c>
      <c r="AC49" s="347">
        <f t="shared" si="19"/>
        <v>147.3929712460064</v>
      </c>
      <c r="AD49" s="347">
        <f t="shared" si="19"/>
        <v>149.55963302752292</v>
      </c>
      <c r="AE49" s="347">
        <f t="shared" si="19"/>
        <v>148.80745341614906</v>
      </c>
      <c r="AF49" s="347">
        <f>AF27*(1-AF$44)</f>
        <v>147.87341772151899</v>
      </c>
      <c r="AG49" s="347">
        <f t="shared" si="19"/>
        <v>149.70731707317074</v>
      </c>
      <c r="AH49" s="347">
        <f t="shared" si="19"/>
        <v>150.14501510574019</v>
      </c>
      <c r="AI49" s="347">
        <f t="shared" si="19"/>
        <v>150.14501510574019</v>
      </c>
      <c r="AJ49" s="347">
        <f t="shared" si="19"/>
        <v>0</v>
      </c>
      <c r="AK49" s="347">
        <f t="shared" si="19"/>
        <v>0</v>
      </c>
      <c r="AL49" s="347">
        <f t="shared" si="19"/>
        <v>0</v>
      </c>
      <c r="AM49" s="347">
        <f t="shared" si="19"/>
        <v>0</v>
      </c>
      <c r="AN49" s="347">
        <f t="shared" si="19"/>
        <v>0</v>
      </c>
      <c r="AO49" s="347">
        <f t="shared" si="19"/>
        <v>0</v>
      </c>
      <c r="AP49" s="347">
        <f t="shared" si="19"/>
        <v>0</v>
      </c>
      <c r="AQ49" s="347">
        <f t="shared" si="19"/>
        <v>0</v>
      </c>
      <c r="AR49" s="347">
        <f t="shared" si="19"/>
        <v>0</v>
      </c>
      <c r="AS49" s="336" t="s">
        <v>586</v>
      </c>
    </row>
    <row r="50" spans="1:45" ht="12">
      <c r="C50" s="97" t="s">
        <v>587</v>
      </c>
      <c r="G50" s="16" t="s">
        <v>584</v>
      </c>
      <c r="H50" t="s">
        <v>585</v>
      </c>
      <c r="I50" s="347">
        <f t="shared" ref="I50:AR50" si="20">I30*(1-I$44)</f>
        <v>0</v>
      </c>
      <c r="J50" s="347">
        <f t="shared" si="20"/>
        <v>0</v>
      </c>
      <c r="K50" s="347">
        <f t="shared" si="20"/>
        <v>0</v>
      </c>
      <c r="L50" s="347">
        <f t="shared" si="20"/>
        <v>5</v>
      </c>
      <c r="M50" s="347">
        <f t="shared" si="20"/>
        <v>7</v>
      </c>
      <c r="N50" s="347">
        <f t="shared" si="20"/>
        <v>21.935672514619885</v>
      </c>
      <c r="O50" s="347">
        <f t="shared" si="20"/>
        <v>25.668579892612481</v>
      </c>
      <c r="P50" s="347">
        <f t="shared" si="20"/>
        <v>29.447554990001819</v>
      </c>
      <c r="Q50" s="347">
        <f t="shared" si="20"/>
        <v>34.039672656111016</v>
      </c>
      <c r="R50" s="347">
        <f t="shared" si="20"/>
        <v>31.736018701672364</v>
      </c>
      <c r="S50" s="347">
        <f t="shared" si="20"/>
        <v>24.918230812116708</v>
      </c>
      <c r="T50" s="347">
        <f t="shared" si="20"/>
        <v>12.465383852410236</v>
      </c>
      <c r="U50" s="347">
        <f t="shared" si="20"/>
        <v>0</v>
      </c>
      <c r="V50" s="347">
        <f t="shared" si="20"/>
        <v>0</v>
      </c>
      <c r="W50" s="347">
        <f t="shared" si="20"/>
        <v>0</v>
      </c>
      <c r="X50" s="347">
        <f t="shared" si="20"/>
        <v>0</v>
      </c>
      <c r="Y50" s="347">
        <f t="shared" si="20"/>
        <v>0</v>
      </c>
      <c r="Z50" s="347">
        <f t="shared" si="20"/>
        <v>0</v>
      </c>
      <c r="AA50" s="347">
        <f t="shared" si="20"/>
        <v>0</v>
      </c>
      <c r="AB50" s="347">
        <f t="shared" si="20"/>
        <v>27.603174603174605</v>
      </c>
      <c r="AC50" s="347">
        <f t="shared" si="20"/>
        <v>26.054313099041533</v>
      </c>
      <c r="AD50" s="347">
        <f t="shared" si="20"/>
        <v>37.01223241590214</v>
      </c>
      <c r="AE50" s="347">
        <f t="shared" si="20"/>
        <v>33.068322981366457</v>
      </c>
      <c r="AF50" s="347">
        <f>AF30*(1-AF$44)</f>
        <v>28.379746835443036</v>
      </c>
      <c r="AG50" s="347">
        <f t="shared" si="20"/>
        <v>37.804878048780488</v>
      </c>
      <c r="AH50" s="347">
        <f t="shared" si="20"/>
        <v>40.190332326283986</v>
      </c>
      <c r="AI50" s="347">
        <f t="shared" si="20"/>
        <v>40.190332326283986</v>
      </c>
      <c r="AJ50" s="347">
        <f t="shared" si="20"/>
        <v>0</v>
      </c>
      <c r="AK50" s="347">
        <f t="shared" si="20"/>
        <v>0</v>
      </c>
      <c r="AL50" s="347">
        <f t="shared" si="20"/>
        <v>0</v>
      </c>
      <c r="AM50" s="347">
        <f t="shared" si="20"/>
        <v>0</v>
      </c>
      <c r="AN50" s="347">
        <f t="shared" si="20"/>
        <v>0</v>
      </c>
      <c r="AO50" s="347">
        <f t="shared" si="20"/>
        <v>0</v>
      </c>
      <c r="AP50" s="347">
        <f t="shared" si="20"/>
        <v>0</v>
      </c>
      <c r="AQ50" s="347">
        <f t="shared" si="20"/>
        <v>0</v>
      </c>
      <c r="AR50" s="347">
        <f t="shared" si="20"/>
        <v>0</v>
      </c>
      <c r="AS50" s="336" t="s">
        <v>588</v>
      </c>
    </row>
    <row r="51" spans="1:45" ht="12">
      <c r="C51" s="97" t="s">
        <v>589</v>
      </c>
      <c r="G51" s="16" t="s">
        <v>584</v>
      </c>
      <c r="H51" t="s">
        <v>585</v>
      </c>
      <c r="I51" s="347">
        <f>I34*(1-I$44)</f>
        <v>2.4607041810751338</v>
      </c>
      <c r="J51" s="347">
        <f t="shared" ref="J51:AR51" si="21">J34*(1-J$44)</f>
        <v>0</v>
      </c>
      <c r="K51" s="347">
        <f>K34*(1-K$44)</f>
        <v>0</v>
      </c>
      <c r="L51" s="347">
        <f t="shared" si="21"/>
        <v>0</v>
      </c>
      <c r="M51" s="347">
        <f t="shared" si="21"/>
        <v>0</v>
      </c>
      <c r="N51" s="347">
        <f t="shared" si="21"/>
        <v>54.83918128654971</v>
      </c>
      <c r="O51" s="347">
        <f t="shared" si="21"/>
        <v>55.258748379929642</v>
      </c>
      <c r="P51" s="347">
        <f t="shared" si="21"/>
        <v>55.663061261588801</v>
      </c>
      <c r="Q51" s="347">
        <f t="shared" si="21"/>
        <v>56.129247464863909</v>
      </c>
      <c r="R51" s="347">
        <f t="shared" si="21"/>
        <v>55.898669304082006</v>
      </c>
      <c r="S51" s="347">
        <f t="shared" si="21"/>
        <v>55.176082512544141</v>
      </c>
      <c r="T51" s="347">
        <f t="shared" si="21"/>
        <v>53.6704026978774</v>
      </c>
      <c r="U51" s="347">
        <f t="shared" si="21"/>
        <v>0</v>
      </c>
      <c r="V51" s="347">
        <f t="shared" si="21"/>
        <v>0</v>
      </c>
      <c r="W51" s="347">
        <f t="shared" si="21"/>
        <v>0</v>
      </c>
      <c r="X51" s="347">
        <f t="shared" si="21"/>
        <v>0</v>
      </c>
      <c r="Y51" s="347">
        <f t="shared" si="21"/>
        <v>0</v>
      </c>
      <c r="Z51" s="347">
        <f t="shared" si="21"/>
        <v>0</v>
      </c>
      <c r="AA51" s="347">
        <f t="shared" si="21"/>
        <v>0</v>
      </c>
      <c r="AB51" s="347">
        <f t="shared" si="21"/>
        <v>59.682539682539684</v>
      </c>
      <c r="AC51" s="347">
        <f t="shared" si="21"/>
        <v>59.552715654952081</v>
      </c>
      <c r="AD51" s="347">
        <f t="shared" si="21"/>
        <v>60.428134556574918</v>
      </c>
      <c r="AE51" s="347">
        <f t="shared" si="21"/>
        <v>60.12422360248447</v>
      </c>
      <c r="AF51" s="347">
        <f t="shared" si="21"/>
        <v>59.746835443037973</v>
      </c>
      <c r="AG51" s="347">
        <f t="shared" si="21"/>
        <v>60.487804878048777</v>
      </c>
      <c r="AH51" s="347">
        <f t="shared" si="21"/>
        <v>60.664652567975835</v>
      </c>
      <c r="AI51" s="347">
        <f t="shared" si="21"/>
        <v>60.664652567975835</v>
      </c>
      <c r="AJ51" s="347">
        <f t="shared" si="21"/>
        <v>0</v>
      </c>
      <c r="AK51" s="347">
        <f t="shared" si="21"/>
        <v>0</v>
      </c>
      <c r="AL51" s="347">
        <f t="shared" si="21"/>
        <v>0</v>
      </c>
      <c r="AM51" s="347">
        <f t="shared" si="21"/>
        <v>0</v>
      </c>
      <c r="AN51" s="347">
        <f t="shared" si="21"/>
        <v>0</v>
      </c>
      <c r="AO51" s="347">
        <f t="shared" si="21"/>
        <v>0</v>
      </c>
      <c r="AP51" s="347">
        <f t="shared" si="21"/>
        <v>0</v>
      </c>
      <c r="AQ51" s="347">
        <f t="shared" si="21"/>
        <v>0</v>
      </c>
      <c r="AR51" s="347">
        <f t="shared" si="21"/>
        <v>0</v>
      </c>
      <c r="AS51" s="336" t="s">
        <v>590</v>
      </c>
    </row>
    <row r="52" spans="1:45" ht="12">
      <c r="C52" s="97"/>
      <c r="G52" s="16"/>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row>
    <row r="53" spans="1:45" ht="12">
      <c r="AS53" s="349"/>
    </row>
    <row r="54" spans="1:45" ht="12">
      <c r="A54" s="94">
        <v>3</v>
      </c>
      <c r="B54" s="94" t="s">
        <v>591</v>
      </c>
      <c r="C54" s="94"/>
      <c r="D54" s="73"/>
      <c r="E54" s="73"/>
      <c r="F54" s="73"/>
      <c r="G54" s="73"/>
      <c r="H54" s="73"/>
    </row>
    <row r="55" spans="1:45" ht="12"/>
    <row r="56" spans="1:45" ht="12">
      <c r="G56" s="16"/>
    </row>
    <row r="57" spans="1:45" ht="12">
      <c r="C57" s="96" t="s">
        <v>592</v>
      </c>
      <c r="G57" s="16" t="s">
        <v>438</v>
      </c>
      <c r="H57" t="s">
        <v>64</v>
      </c>
      <c r="I57" s="350"/>
      <c r="J57" s="350"/>
      <c r="K57" s="338">
        <f t="shared" ref="K57:AN57" si="22">SUM(K58:K59)</f>
        <v>68</v>
      </c>
      <c r="L57" s="338">
        <f t="shared" si="22"/>
        <v>65</v>
      </c>
      <c r="M57" s="338">
        <f t="shared" si="22"/>
        <v>87</v>
      </c>
      <c r="N57" s="338">
        <f t="shared" si="22"/>
        <v>113.50862068965517</v>
      </c>
      <c r="O57" s="338">
        <f t="shared" si="22"/>
        <v>177.50862068965517</v>
      </c>
      <c r="P57" s="338">
        <f t="shared" si="22"/>
        <v>237.50862068965517</v>
      </c>
      <c r="Q57" s="338">
        <f t="shared" si="22"/>
        <v>380.50862068965517</v>
      </c>
      <c r="R57" s="338">
        <f t="shared" si="22"/>
        <v>295.50862068965517</v>
      </c>
      <c r="S57" s="338">
        <f t="shared" si="22"/>
        <v>683.50862068965512</v>
      </c>
      <c r="T57" s="338">
        <f t="shared" si="22"/>
        <v>1149.5086206896551</v>
      </c>
      <c r="U57" s="338">
        <f t="shared" si="22"/>
        <v>250</v>
      </c>
      <c r="V57" s="338">
        <f t="shared" si="22"/>
        <v>282</v>
      </c>
      <c r="W57" s="338">
        <f t="shared" si="22"/>
        <v>403.50862068965517</v>
      </c>
      <c r="X57" s="338">
        <f t="shared" si="22"/>
        <v>310.50862068965517</v>
      </c>
      <c r="Y57" s="338">
        <f t="shared" si="22"/>
        <v>297.50862068965517</v>
      </c>
      <c r="Z57" s="338">
        <f t="shared" si="22"/>
        <v>353.50862068965517</v>
      </c>
      <c r="AA57" s="338">
        <f t="shared" si="22"/>
        <v>776.50862068965512</v>
      </c>
      <c r="AB57" s="338">
        <f t="shared" si="22"/>
        <v>120</v>
      </c>
      <c r="AC57" s="338">
        <f t="shared" si="22"/>
        <v>281</v>
      </c>
      <c r="AD57" s="338">
        <f t="shared" si="22"/>
        <v>392</v>
      </c>
      <c r="AE57" s="338">
        <f t="shared" si="22"/>
        <v>371</v>
      </c>
      <c r="AF57" s="338">
        <f t="shared" si="22"/>
        <v>583</v>
      </c>
      <c r="AG57" s="338">
        <f t="shared" si="22"/>
        <v>1094</v>
      </c>
      <c r="AH57" s="338">
        <f t="shared" si="22"/>
        <v>1534</v>
      </c>
      <c r="AI57" s="338">
        <f t="shared" si="22"/>
        <v>1931</v>
      </c>
      <c r="AJ57" s="338">
        <f t="shared" si="22"/>
        <v>263</v>
      </c>
      <c r="AK57" s="338">
        <f t="shared" si="22"/>
        <v>322</v>
      </c>
      <c r="AL57" s="338">
        <f t="shared" si="22"/>
        <v>404</v>
      </c>
      <c r="AM57" s="338">
        <f t="shared" si="22"/>
        <v>344</v>
      </c>
      <c r="AN57" s="338">
        <f t="shared" si="22"/>
        <v>389</v>
      </c>
      <c r="AO57" s="338">
        <f>SUM(AO58:AO59)</f>
        <v>774</v>
      </c>
      <c r="AP57" s="338">
        <f>SUM(AP58:AP59)</f>
        <v>276</v>
      </c>
      <c r="AQ57" s="338">
        <f>SUM(AQ58:AQ59)</f>
        <v>458</v>
      </c>
      <c r="AR57" s="338">
        <f>SUM(AR58:AR59)</f>
        <v>1270</v>
      </c>
    </row>
    <row r="58" spans="1:45" ht="12">
      <c r="C58" t="s">
        <v>593</v>
      </c>
      <c r="G58" s="16" t="s">
        <v>438</v>
      </c>
      <c r="H58" s="96" t="s">
        <v>594</v>
      </c>
      <c r="I58" s="351"/>
      <c r="J58" s="351"/>
      <c r="K58" s="285">
        <f>IFERROR(VLOOKUP(K$3,Precios!$C$280:$Z$321,24,FALSE),0)</f>
        <v>68</v>
      </c>
      <c r="L58" s="285">
        <f>IFERROR(VLOOKUP(L$3,Precios!$C$280:$Z$321,24,FALSE),0)</f>
        <v>65</v>
      </c>
      <c r="M58" s="285">
        <f>IFERROR(VLOOKUP(M$3,Precios!$C$280:$Z$321,24,FALSE),0)</f>
        <v>87</v>
      </c>
      <c r="N58" s="285">
        <f>IFERROR(VLOOKUP(N$3,Precios!$C$280:$Z$321,24,FALSE),0)</f>
        <v>97</v>
      </c>
      <c r="O58" s="285">
        <f>IFERROR(VLOOKUP(O$3,Precios!$C$280:$Z$321,24,FALSE),0)</f>
        <v>161</v>
      </c>
      <c r="P58" s="285">
        <f>IFERROR(VLOOKUP(P$3,Precios!$C$280:$Z$321,24,FALSE),0)</f>
        <v>221</v>
      </c>
      <c r="Q58" s="285">
        <f>IFERROR(VLOOKUP(Q$3,Precios!$C$280:$Z$321,24,FALSE),0)</f>
        <v>364</v>
      </c>
      <c r="R58" s="285">
        <f>IFERROR(VLOOKUP(R$3,Precios!$C$280:$Z$321,24,FALSE),0)</f>
        <v>279</v>
      </c>
      <c r="S58" s="285">
        <f>IFERROR(VLOOKUP(S$3,Precios!$C$280:$Z$321,24,FALSE),0)</f>
        <v>667</v>
      </c>
      <c r="T58" s="285">
        <f>IFERROR(VLOOKUP(T$3,Precios!$C$280:$Z$321,24,FALSE),0)</f>
        <v>1133</v>
      </c>
      <c r="U58" s="285">
        <f>IFERROR(VLOOKUP(U$3,Precios!$C$280:$Z$321,24,FALSE),0)</f>
        <v>250</v>
      </c>
      <c r="V58" s="285">
        <f>IFERROR(VLOOKUP(V$3,Precios!$C$280:$Z$321,24,FALSE),0)</f>
        <v>282</v>
      </c>
      <c r="W58" s="285">
        <f>IFERROR(VLOOKUP(W$3,Precios!$C$280:$Z$321,24,FALSE),0)</f>
        <v>387</v>
      </c>
      <c r="X58" s="285">
        <f>IFERROR(VLOOKUP(X$3,Precios!$C$280:$Z$321,24,FALSE),0)</f>
        <v>294</v>
      </c>
      <c r="Y58" s="285">
        <f>IFERROR(VLOOKUP(Y$3,Precios!$C$280:$Z$321,24,FALSE),0)</f>
        <v>281</v>
      </c>
      <c r="Z58" s="285">
        <f>IFERROR(VLOOKUP(Z$3,Precios!$C$280:$Z$321,24,FALSE),0)</f>
        <v>337</v>
      </c>
      <c r="AA58" s="285">
        <f>IFERROR(VLOOKUP(AA$3,Precios!$C$280:$Z$321,24,FALSE),0)</f>
        <v>760</v>
      </c>
      <c r="AB58" s="285">
        <f>IFERROR(VLOOKUP(AB$3,Precios!$C$280:$Z$321,24,FALSE),0)</f>
        <v>120</v>
      </c>
      <c r="AC58" s="285">
        <f>IFERROR(VLOOKUP(AC$3,Precios!$C$280:$Z$321,24,FALSE),0)</f>
        <v>281</v>
      </c>
      <c r="AD58" s="285">
        <f>IFERROR(VLOOKUP(AD$3,Precios!$C$280:$Z$321,24,FALSE),0)</f>
        <v>392</v>
      </c>
      <c r="AE58" s="285">
        <f>IFERROR(VLOOKUP(AE$3,Precios!$C$280:$Z$321,24,FALSE),0)</f>
        <v>371</v>
      </c>
      <c r="AF58" s="285">
        <f>IFERROR(VLOOKUP(AF$3,Precios!$C$280:$Z$321,24,FALSE),0)</f>
        <v>583</v>
      </c>
      <c r="AG58" s="285">
        <f>IFERROR(VLOOKUP(AG$3,Precios!$C$280:$Z$321,24,FALSE),0)</f>
        <v>1094</v>
      </c>
      <c r="AH58" s="285">
        <f>IFERROR(VLOOKUP(AH$3,Precios!$C$280:$Z$321,24,FALSE),0)</f>
        <v>1534</v>
      </c>
      <c r="AI58" s="285">
        <f>IFERROR(VLOOKUP(AI$3,Precios!$C$280:$Z$321,24,FALSE),0)</f>
        <v>1931</v>
      </c>
      <c r="AJ58" s="285">
        <f>IFERROR(VLOOKUP(AJ$3,Precios!$C$280:$Z$321,24,FALSE),0)</f>
        <v>263</v>
      </c>
      <c r="AK58" s="285">
        <f>IFERROR(VLOOKUP(AK$3,Precios!$C$280:$Z$321,24,FALSE),0)</f>
        <v>322</v>
      </c>
      <c r="AL58" s="285">
        <f>IFERROR(VLOOKUP(AL$3,Precios!$C$280:$Z$321,24,FALSE),0)</f>
        <v>404</v>
      </c>
      <c r="AM58" s="285">
        <f>IFERROR(VLOOKUP(AM$3,Precios!$C$280:$Z$321,24,FALSE),0)</f>
        <v>344</v>
      </c>
      <c r="AN58" s="285">
        <f>IFERROR(VLOOKUP(AN$3,Precios!$C$280:$Z$321,24,FALSE),0)</f>
        <v>389</v>
      </c>
      <c r="AO58" s="285">
        <f>IFERROR(VLOOKUP(AO$3,Precios!$C$280:$Z$321,24,FALSE),0)</f>
        <v>774</v>
      </c>
      <c r="AP58" s="285">
        <f>IFERROR(VLOOKUP(AP$3,Precios!$C$280:$Z$321,24,FALSE),0)</f>
        <v>276</v>
      </c>
      <c r="AQ58" s="285">
        <f>IFERROR(VLOOKUP(AQ$3,Precios!$C$280:$Z$321,24,FALSE),0)</f>
        <v>458</v>
      </c>
      <c r="AR58" s="285">
        <f>IFERROR(VLOOKUP(AR$3,Precios!$C$280:$Z$321,24,FALSE),0)</f>
        <v>1270</v>
      </c>
      <c r="AS58" s="336" t="s">
        <v>595</v>
      </c>
    </row>
    <row r="59" spans="1:45" ht="12">
      <c r="C59" t="s">
        <v>596</v>
      </c>
      <c r="G59" s="16" t="s">
        <v>438</v>
      </c>
      <c r="H59" t="s">
        <v>571</v>
      </c>
      <c r="I59" s="352"/>
      <c r="J59" s="352"/>
      <c r="K59" s="340">
        <f t="shared" ref="K59:AN59" si="23">IF(K63&gt;0,clarovideo.rental.without.taxes*K64/(years.client.retention*12),0)</f>
        <v>0</v>
      </c>
      <c r="L59" s="340">
        <f t="shared" si="23"/>
        <v>0</v>
      </c>
      <c r="M59" s="340">
        <f t="shared" si="23"/>
        <v>0</v>
      </c>
      <c r="N59" s="340">
        <f t="shared" si="23"/>
        <v>16.508620689655174</v>
      </c>
      <c r="O59" s="340">
        <f t="shared" si="23"/>
        <v>16.508620689655174</v>
      </c>
      <c r="P59" s="340">
        <f t="shared" si="23"/>
        <v>16.508620689655174</v>
      </c>
      <c r="Q59" s="340">
        <f t="shared" si="23"/>
        <v>16.508620689655174</v>
      </c>
      <c r="R59" s="340">
        <f t="shared" si="23"/>
        <v>16.508620689655174</v>
      </c>
      <c r="S59" s="340">
        <f t="shared" si="23"/>
        <v>16.508620689655174</v>
      </c>
      <c r="T59" s="340">
        <f t="shared" si="23"/>
        <v>16.508620689655174</v>
      </c>
      <c r="U59" s="340">
        <f t="shared" si="23"/>
        <v>0</v>
      </c>
      <c r="V59" s="340">
        <f t="shared" si="23"/>
        <v>0</v>
      </c>
      <c r="W59" s="340">
        <f t="shared" si="23"/>
        <v>16.508620689655174</v>
      </c>
      <c r="X59" s="340">
        <f t="shared" si="23"/>
        <v>16.508620689655174</v>
      </c>
      <c r="Y59" s="340">
        <f t="shared" si="23"/>
        <v>16.508620689655174</v>
      </c>
      <c r="Z59" s="340">
        <f t="shared" si="23"/>
        <v>16.508620689655174</v>
      </c>
      <c r="AA59" s="340">
        <f t="shared" si="23"/>
        <v>16.508620689655174</v>
      </c>
      <c r="AB59" s="340">
        <f t="shared" si="23"/>
        <v>0</v>
      </c>
      <c r="AC59" s="340">
        <f t="shared" si="23"/>
        <v>0</v>
      </c>
      <c r="AD59" s="340">
        <f t="shared" si="23"/>
        <v>0</v>
      </c>
      <c r="AE59" s="340">
        <f t="shared" si="23"/>
        <v>0</v>
      </c>
      <c r="AF59" s="340">
        <f t="shared" si="23"/>
        <v>0</v>
      </c>
      <c r="AG59" s="340">
        <f t="shared" si="23"/>
        <v>0</v>
      </c>
      <c r="AH59" s="340">
        <f t="shared" si="23"/>
        <v>0</v>
      </c>
      <c r="AI59" s="340">
        <f t="shared" si="23"/>
        <v>0</v>
      </c>
      <c r="AJ59" s="340">
        <f t="shared" si="23"/>
        <v>0</v>
      </c>
      <c r="AK59" s="340">
        <f t="shared" si="23"/>
        <v>0</v>
      </c>
      <c r="AL59" s="340">
        <f t="shared" si="23"/>
        <v>0</v>
      </c>
      <c r="AM59" s="340">
        <f t="shared" si="23"/>
        <v>0</v>
      </c>
      <c r="AN59" s="340">
        <f t="shared" si="23"/>
        <v>0</v>
      </c>
      <c r="AO59" s="340">
        <f>IF(AO63&gt;0,clarovideo.rental.without.taxes*AO64/(years.client.retention*12),0)</f>
        <v>0</v>
      </c>
      <c r="AP59" s="340">
        <f>IF(AP63&gt;0,clarovideo.rental.without.taxes*AP64/(years.client.retention*12),0)</f>
        <v>0</v>
      </c>
      <c r="AQ59" s="340">
        <f>IF(AQ63&gt;0,clarovideo.rental.without.taxes*AQ64/(years.client.retention*12),0)</f>
        <v>0</v>
      </c>
      <c r="AR59" s="340">
        <f>IF(AR63&gt;0,clarovideo.rental.without.taxes*AR64/(years.client.retention*12),0)</f>
        <v>0</v>
      </c>
    </row>
    <row r="60" spans="1:45" ht="12">
      <c r="C60" s="353"/>
      <c r="G60" s="16"/>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row>
    <row r="61" spans="1:45" ht="12">
      <c r="G61" s="16"/>
      <c r="X61" s="355"/>
      <c r="Y61" s="356"/>
      <c r="Z61" s="356"/>
      <c r="AA61" s="356"/>
    </row>
    <row r="62" spans="1:45" ht="12">
      <c r="C62" s="96" t="s">
        <v>597</v>
      </c>
      <c r="G62" s="16"/>
      <c r="X62" s="98"/>
      <c r="Y62" s="355"/>
      <c r="Z62" s="355"/>
      <c r="AA62" s="355"/>
    </row>
    <row r="63" spans="1:45" ht="12">
      <c r="C63" t="s">
        <v>598</v>
      </c>
      <c r="G63" s="277" t="s">
        <v>557</v>
      </c>
      <c r="H63" t="s">
        <v>571</v>
      </c>
      <c r="I63" s="357"/>
      <c r="J63" s="357"/>
      <c r="K63" s="358">
        <f t="shared" ref="K63:AR63" si="24">IF(K64&gt;0,1,0)</f>
        <v>0</v>
      </c>
      <c r="L63" s="358">
        <f t="shared" si="24"/>
        <v>0</v>
      </c>
      <c r="M63" s="358">
        <f t="shared" si="24"/>
        <v>0</v>
      </c>
      <c r="N63" s="358">
        <f t="shared" si="24"/>
        <v>1</v>
      </c>
      <c r="O63" s="358">
        <f t="shared" si="24"/>
        <v>1</v>
      </c>
      <c r="P63" s="358">
        <f t="shared" si="24"/>
        <v>1</v>
      </c>
      <c r="Q63" s="358">
        <f t="shared" si="24"/>
        <v>1</v>
      </c>
      <c r="R63" s="358">
        <f t="shared" si="24"/>
        <v>1</v>
      </c>
      <c r="S63" s="358">
        <f t="shared" si="24"/>
        <v>1</v>
      </c>
      <c r="T63" s="358">
        <f t="shared" si="24"/>
        <v>1</v>
      </c>
      <c r="U63" s="358">
        <f t="shared" si="24"/>
        <v>0</v>
      </c>
      <c r="V63" s="358">
        <f t="shared" si="24"/>
        <v>0</v>
      </c>
      <c r="W63" s="358">
        <f t="shared" si="24"/>
        <v>1</v>
      </c>
      <c r="X63" s="358">
        <f t="shared" si="24"/>
        <v>1</v>
      </c>
      <c r="Y63" s="358">
        <f t="shared" si="24"/>
        <v>1</v>
      </c>
      <c r="Z63" s="358">
        <f t="shared" si="24"/>
        <v>1</v>
      </c>
      <c r="AA63" s="358">
        <f t="shared" si="24"/>
        <v>1</v>
      </c>
      <c r="AB63" s="358">
        <f t="shared" si="24"/>
        <v>0</v>
      </c>
      <c r="AC63" s="358">
        <f t="shared" si="24"/>
        <v>0</v>
      </c>
      <c r="AD63" s="358">
        <f t="shared" si="24"/>
        <v>0</v>
      </c>
      <c r="AE63" s="358">
        <f t="shared" si="24"/>
        <v>0</v>
      </c>
      <c r="AF63" s="358">
        <f t="shared" si="24"/>
        <v>0</v>
      </c>
      <c r="AG63" s="358">
        <f t="shared" si="24"/>
        <v>0</v>
      </c>
      <c r="AH63" s="358">
        <f t="shared" si="24"/>
        <v>0</v>
      </c>
      <c r="AI63" s="358">
        <f t="shared" si="24"/>
        <v>0</v>
      </c>
      <c r="AJ63" s="358">
        <f t="shared" si="24"/>
        <v>0</v>
      </c>
      <c r="AK63" s="358">
        <f t="shared" si="24"/>
        <v>0</v>
      </c>
      <c r="AL63" s="358">
        <f t="shared" si="24"/>
        <v>0</v>
      </c>
      <c r="AM63" s="358">
        <f t="shared" si="24"/>
        <v>0</v>
      </c>
      <c r="AN63" s="358">
        <f t="shared" si="24"/>
        <v>0</v>
      </c>
      <c r="AO63" s="358">
        <f t="shared" si="24"/>
        <v>0</v>
      </c>
      <c r="AP63" s="358">
        <f t="shared" si="24"/>
        <v>0</v>
      </c>
      <c r="AQ63" s="358">
        <f t="shared" si="24"/>
        <v>0</v>
      </c>
      <c r="AR63" s="358">
        <f t="shared" si="24"/>
        <v>0</v>
      </c>
    </row>
    <row r="64" spans="1:45" ht="12">
      <c r="C64" t="s">
        <v>599</v>
      </c>
      <c r="G64" s="277" t="s">
        <v>553</v>
      </c>
      <c r="H64" s="327" t="s">
        <v>538</v>
      </c>
      <c r="I64" s="359"/>
      <c r="J64" s="359"/>
      <c r="K64" s="360">
        <f>IFERROR(MID(VLOOKUP(K$8,'Planes y paquetes'!$A$384:$BW$417,29,FALSE),1,FIND("m",VLOOKUP(K$8,'Planes y paquetes'!$A$384:$BW$417,29,FALSE),1)-1),0)</f>
        <v>0</v>
      </c>
      <c r="L64" s="360">
        <f>IFERROR(MID(VLOOKUP(L$8,'Planes y paquetes'!$A$384:$BW$417,29,FALSE),1,FIND("m",VLOOKUP(L$8,'Planes y paquetes'!$A$384:$BW$417,29,FALSE),1)-1),0)</f>
        <v>0</v>
      </c>
      <c r="M64" s="360">
        <f>IFERROR(MID(VLOOKUP(M$8,'Planes y paquetes'!$A$384:$BW$417,29,FALSE),1,FIND("m",VLOOKUP(M$8,'Planes y paquetes'!$A$384:$BW$417,29,FALSE),1)-1),0)</f>
        <v>0</v>
      </c>
      <c r="N64" s="360" t="str">
        <f>IFERROR(MID(VLOOKUP(N$8,'Planes y paquetes'!$A$384:$BW$417,29,FALSE),1,FIND("m",VLOOKUP(N$8,'Planes y paquetes'!$A$384:$BW$417,29,FALSE),1)-1),0)</f>
        <v xml:space="preserve">12 </v>
      </c>
      <c r="O64" s="360" t="str">
        <f>IFERROR(MID(VLOOKUP(O$8,'Planes y paquetes'!$A$384:$BW$417,29,FALSE),1,FIND("m",VLOOKUP(O$8,'Planes y paquetes'!$A$384:$BW$417,29,FALSE),1)-1),0)</f>
        <v xml:space="preserve">12 </v>
      </c>
      <c r="P64" s="360" t="str">
        <f>IFERROR(MID(VLOOKUP(P$8,'Planes y paquetes'!$A$384:$BW$417,29,FALSE),1,FIND("m",VLOOKUP(P$8,'Planes y paquetes'!$A$384:$BW$417,29,FALSE),1)-1),0)</f>
        <v xml:space="preserve">12 </v>
      </c>
      <c r="Q64" s="360" t="str">
        <f>IFERROR(MID(VLOOKUP(Q$8,'Planes y paquetes'!$A$384:$BW$417,29,FALSE),1,FIND("m",VLOOKUP(Q$8,'Planes y paquetes'!$A$384:$BW$417,29,FALSE),1)-1),0)</f>
        <v xml:space="preserve">12 </v>
      </c>
      <c r="R64" s="360" t="str">
        <f>IFERROR(MID(VLOOKUP(R$8,'Planes y paquetes'!$A$384:$BW$417,29,FALSE),1,FIND("m",VLOOKUP(R$8,'Planes y paquetes'!$A$384:$BW$417,29,FALSE),1)-1),0)</f>
        <v xml:space="preserve">12 </v>
      </c>
      <c r="S64" s="360" t="str">
        <f>IFERROR(MID(VLOOKUP(S$8,'Planes y paquetes'!$A$384:$BW$417,29,FALSE),1,FIND("m",VLOOKUP(S$8,'Planes y paquetes'!$A$384:$BW$417,29,FALSE),1)-1),0)</f>
        <v xml:space="preserve">12 </v>
      </c>
      <c r="T64" s="360" t="str">
        <f>IFERROR(MID(VLOOKUP(T$8,'Planes y paquetes'!$A$384:$BW$417,29,FALSE),1,FIND("m",VLOOKUP(T$8,'Planes y paquetes'!$A$384:$BW$417,29,FALSE),1)-1),0)</f>
        <v xml:space="preserve">12 </v>
      </c>
      <c r="U64" s="360">
        <f>IFERROR(MID(VLOOKUP(U$8,'Planes y paquetes'!$A$384:$BW$417,29,FALSE),1,FIND("m",VLOOKUP(U$8,'Planes y paquetes'!$A$384:$BW$417,29,FALSE),1)-1),0)</f>
        <v>0</v>
      </c>
      <c r="V64" s="360">
        <f>IFERROR(MID(VLOOKUP(V$8,'Planes y paquetes'!$A$384:$BW$417,29,FALSE),1,FIND("m",VLOOKUP(V$8,'Planes y paquetes'!$A$384:$BW$417,29,FALSE),1)-1),0)</f>
        <v>0</v>
      </c>
      <c r="W64" s="360" t="str">
        <f>IFERROR(MID(VLOOKUP(W$8,'Planes y paquetes'!$A$384:$BW$417,29,FALSE),1,FIND("m",VLOOKUP(W$8,'Planes y paquetes'!$A$384:$BW$417,29,FALSE),1)-1),0)</f>
        <v xml:space="preserve">12 </v>
      </c>
      <c r="X64" s="360" t="str">
        <f>IFERROR(MID(VLOOKUP(X$8,'Planes y paquetes'!$A$384:$BW$417,29,FALSE),1,FIND("m",VLOOKUP(X$8,'Planes y paquetes'!$A$384:$BW$417,29,FALSE),1)-1),0)</f>
        <v xml:space="preserve">12 </v>
      </c>
      <c r="Y64" s="360" t="str">
        <f>IFERROR(MID(VLOOKUP(Y$8,'Planes y paquetes'!$A$384:$BW$417,29,FALSE),1,FIND("m",VLOOKUP(Y$8,'Planes y paquetes'!$A$384:$BW$417,29,FALSE),1)-1),0)</f>
        <v xml:space="preserve">12 </v>
      </c>
      <c r="Z64" s="360" t="str">
        <f>IFERROR(MID(VLOOKUP(Z$8,'Planes y paquetes'!$A$384:$BW$417,29,FALSE),1,FIND("m",VLOOKUP(Z$8,'Planes y paquetes'!$A$384:$BW$417,29,FALSE),1)-1),0)</f>
        <v xml:space="preserve">12 </v>
      </c>
      <c r="AA64" s="360" t="str">
        <f>IFERROR(MID(VLOOKUP(AA$8,'Planes y paquetes'!$A$384:$BW$417,29,FALSE),1,FIND("m",VLOOKUP(AA$8,'Planes y paquetes'!$A$384:$BW$417,29,FALSE),1)-1),0)</f>
        <v xml:space="preserve">12 </v>
      </c>
      <c r="AB64" s="360">
        <f>IFERROR(MID(VLOOKUP(AB$8,'Planes y paquetes'!$A$384:$BW$417,29,FALSE),1,FIND("m",VLOOKUP(AB$8,'Planes y paquetes'!$A$384:$BW$417,29,FALSE),1)-1),0)</f>
        <v>0</v>
      </c>
      <c r="AC64" s="360">
        <f>IFERROR(MID(VLOOKUP(AC$8,'Planes y paquetes'!$A$384:$BW$417,29,FALSE),1,FIND("m",VLOOKUP(AC$8,'Planes y paquetes'!$A$384:$BW$417,29,FALSE),1)-1),0)</f>
        <v>0</v>
      </c>
      <c r="AD64" s="360">
        <f>IFERROR(MID(VLOOKUP(AD$8,'Planes y paquetes'!$A$384:$BW$417,29,FALSE),1,FIND("m",VLOOKUP(AD$8,'Planes y paquetes'!$A$384:$BW$417,29,FALSE),1)-1),0)</f>
        <v>0</v>
      </c>
      <c r="AE64" s="360">
        <f>IFERROR(MID(VLOOKUP(AE$8,'Planes y paquetes'!$A$384:$BW$417,29,FALSE),1,FIND("m",VLOOKUP(AE$8,'Planes y paquetes'!$A$384:$BW$417,29,FALSE),1)-1),0)</f>
        <v>0</v>
      </c>
      <c r="AF64" s="360">
        <f>IFERROR(MID(VLOOKUP(AF$8,'Planes y paquetes'!$A$384:$BW$417,29,FALSE),1,FIND("m",VLOOKUP(AF$8,'Planes y paquetes'!$A$384:$BW$417,29,FALSE),1)-1),0)</f>
        <v>0</v>
      </c>
      <c r="AG64" s="360">
        <f>IFERROR(MID(VLOOKUP(AG$8,'Planes y paquetes'!$A$384:$BW$417,29,FALSE),1,FIND("m",VLOOKUP(AG$8,'Planes y paquetes'!$A$384:$BW$417,29,FALSE),1)-1),0)</f>
        <v>0</v>
      </c>
      <c r="AH64" s="360">
        <f>IFERROR(MID(VLOOKUP(AH$8,'Planes y paquetes'!$A$384:$BW$417,29,FALSE),1,FIND("m",VLOOKUP(AH$8,'Planes y paquetes'!$A$384:$BW$417,29,FALSE),1)-1),0)</f>
        <v>0</v>
      </c>
      <c r="AI64" s="360">
        <f>IFERROR(MID(VLOOKUP(AI$8,'Planes y paquetes'!$A$384:$BW$417,29,FALSE),1,FIND("m",VLOOKUP(AI$8,'Planes y paquetes'!$A$384:$BW$417,29,FALSE),1)-1),0)</f>
        <v>0</v>
      </c>
      <c r="AJ64" s="360">
        <f>IFERROR(MID(VLOOKUP(AJ$8,'Planes y paquetes'!$A$384:$BW$417,29,FALSE),1,FIND("m",VLOOKUP(AJ$8,'Planes y paquetes'!$A$384:$BW$417,29,FALSE),1)-1),0)</f>
        <v>0</v>
      </c>
      <c r="AK64" s="360">
        <f>IFERROR(MID(VLOOKUP(AK$8,'Planes y paquetes'!$A$384:$BW$417,29,FALSE),1,FIND("m",VLOOKUP(AK$8,'Planes y paquetes'!$A$384:$BW$417,29,FALSE),1)-1),0)</f>
        <v>0</v>
      </c>
      <c r="AL64" s="360">
        <f>IFERROR(MID(VLOOKUP(AL$8,'Planes y paquetes'!$A$384:$BW$417,29,FALSE),1,FIND("m",VLOOKUP(AL$8,'Planes y paquetes'!$A$384:$BW$417,29,FALSE),1)-1),0)</f>
        <v>0</v>
      </c>
      <c r="AM64" s="360">
        <f>IFERROR(MID(VLOOKUP(AM$8,'Planes y paquetes'!$A$384:$BW$417,29,FALSE),1,FIND("m",VLOOKUP(AM$8,'Planes y paquetes'!$A$384:$BW$417,29,FALSE),1)-1),0)</f>
        <v>0</v>
      </c>
      <c r="AN64" s="360">
        <f>IFERROR(MID(VLOOKUP(AN$8,'Planes y paquetes'!$A$384:$BW$417,29,FALSE),1,FIND("m",VLOOKUP(AN$8,'Planes y paquetes'!$A$384:$BW$417,29,FALSE),1)-1),0)</f>
        <v>0</v>
      </c>
      <c r="AO64" s="360">
        <f>IFERROR(MID(VLOOKUP(AO$8,'Planes y paquetes'!$A$384:$BW$417,29,FALSE),1,FIND("m",VLOOKUP(AO$8,'Planes y paquetes'!$A$384:$BW$417,29,FALSE),1)-1),0)</f>
        <v>0</v>
      </c>
      <c r="AP64" s="360">
        <f>IFERROR(MID(VLOOKUP(AP$8,'Planes y paquetes'!$A$384:$BW$417,29,FALSE),1,FIND("m",VLOOKUP(AP$8,'Planes y paquetes'!$A$384:$BW$417,29,FALSE),1)-1),0)</f>
        <v>0</v>
      </c>
      <c r="AQ64" s="360">
        <f>IFERROR(MID(VLOOKUP(AQ$8,'Planes y paquetes'!$A$384:$BW$417,29,FALSE),1,FIND("m",VLOOKUP(AQ$8,'Planes y paquetes'!$A$384:$BW$417,29,FALSE),1)-1),0)</f>
        <v>0</v>
      </c>
      <c r="AR64" s="360">
        <f>IFERROR(MID(VLOOKUP(AR$8,'Planes y paquetes'!$A$384:$BW$417,29,FALSE),1,FIND("m",VLOOKUP(AR$8,'Planes y paquetes'!$A$384:$BW$417,29,FALSE),1)-1),0)</f>
        <v>0</v>
      </c>
    </row>
    <row r="65" spans="1:49" ht="12">
      <c r="G65" s="16"/>
      <c r="H65" s="327"/>
      <c r="I65" s="327"/>
      <c r="J65" s="327"/>
      <c r="K65" s="327"/>
      <c r="L65" s="327"/>
      <c r="M65" s="327"/>
      <c r="N65" s="327"/>
      <c r="O65" s="327"/>
      <c r="P65" s="327"/>
      <c r="Q65" s="327"/>
      <c r="R65" s="327"/>
      <c r="S65" s="327"/>
      <c r="T65" s="327"/>
      <c r="U65" s="327"/>
      <c r="V65" s="327"/>
      <c r="W65" s="327"/>
      <c r="X65" s="327"/>
      <c r="Y65" s="361"/>
      <c r="Z65" s="361"/>
      <c r="AA65" s="361"/>
      <c r="AB65" s="327"/>
      <c r="AC65" s="327"/>
      <c r="AD65" s="327"/>
      <c r="AE65" s="327"/>
      <c r="AF65" s="327"/>
      <c r="AG65" s="327"/>
      <c r="AH65" s="327"/>
      <c r="AI65" s="327"/>
      <c r="AJ65" s="327"/>
      <c r="AK65" s="327"/>
      <c r="AL65" s="327"/>
      <c r="AM65" s="327"/>
      <c r="AN65" s="327"/>
      <c r="AO65" s="327"/>
      <c r="AP65" s="327"/>
      <c r="AQ65" s="327"/>
      <c r="AR65" s="327"/>
      <c r="AS65" s="327"/>
    </row>
    <row r="66" spans="1:49" ht="12">
      <c r="G66" s="16"/>
      <c r="H66" s="346">
        <f>SUMPRODUCT(K67:AR67,vector.distribution.users.broadband)</f>
        <v>9.1252137749270823E-2</v>
      </c>
    </row>
    <row r="67" spans="1:49" ht="12">
      <c r="C67" t="s">
        <v>600</v>
      </c>
      <c r="G67" s="16" t="s">
        <v>223</v>
      </c>
      <c r="I67" s="362"/>
      <c r="J67" s="362"/>
      <c r="K67" s="363">
        <f t="shared" ref="K67:AR67" si="25">IFERROR(1-K58/SUM(K58:K59),0)</f>
        <v>0</v>
      </c>
      <c r="L67" s="363">
        <f t="shared" si="25"/>
        <v>0</v>
      </c>
      <c r="M67" s="363">
        <f t="shared" si="25"/>
        <v>0</v>
      </c>
      <c r="N67" s="363">
        <f t="shared" si="25"/>
        <v>0.14543935596567181</v>
      </c>
      <c r="O67" s="363">
        <f t="shared" si="25"/>
        <v>9.3001796901558964E-2</v>
      </c>
      <c r="P67" s="363">
        <f t="shared" si="25"/>
        <v>6.9507458894414009E-2</v>
      </c>
      <c r="Q67" s="363">
        <f t="shared" si="25"/>
        <v>4.3385668003353084E-2</v>
      </c>
      <c r="R67" s="363">
        <f t="shared" si="25"/>
        <v>5.5865106916771157E-2</v>
      </c>
      <c r="S67" s="363">
        <f t="shared" si="25"/>
        <v>2.4152761486750607E-2</v>
      </c>
      <c r="T67" s="363">
        <f t="shared" si="25"/>
        <v>1.4361458794237336E-2</v>
      </c>
      <c r="U67" s="363">
        <f t="shared" si="25"/>
        <v>0</v>
      </c>
      <c r="V67" s="363">
        <f t="shared" si="25"/>
        <v>0</v>
      </c>
      <c r="W67" s="363">
        <f t="shared" si="25"/>
        <v>4.0912684000256383E-2</v>
      </c>
      <c r="X67" s="363">
        <f t="shared" si="25"/>
        <v>5.3166384408228962E-2</v>
      </c>
      <c r="Y67" s="363">
        <f t="shared" si="25"/>
        <v>5.5489554055228818E-2</v>
      </c>
      <c r="Z67" s="363">
        <f t="shared" si="25"/>
        <v>4.6699344014436539E-2</v>
      </c>
      <c r="AA67" s="363">
        <f t="shared" si="25"/>
        <v>2.1260061060227486E-2</v>
      </c>
      <c r="AB67" s="363">
        <f t="shared" si="25"/>
        <v>0</v>
      </c>
      <c r="AC67" s="363">
        <f t="shared" si="25"/>
        <v>0</v>
      </c>
      <c r="AD67" s="363">
        <f t="shared" si="25"/>
        <v>0</v>
      </c>
      <c r="AE67" s="363">
        <f t="shared" si="25"/>
        <v>0</v>
      </c>
      <c r="AF67" s="363">
        <f t="shared" si="25"/>
        <v>0</v>
      </c>
      <c r="AG67" s="363">
        <f t="shared" si="25"/>
        <v>0</v>
      </c>
      <c r="AH67" s="363">
        <f t="shared" si="25"/>
        <v>0</v>
      </c>
      <c r="AI67" s="363">
        <f t="shared" si="25"/>
        <v>0</v>
      </c>
      <c r="AJ67" s="363">
        <f t="shared" si="25"/>
        <v>0</v>
      </c>
      <c r="AK67" s="363">
        <f t="shared" si="25"/>
        <v>0</v>
      </c>
      <c r="AL67" s="363">
        <f t="shared" si="25"/>
        <v>0</v>
      </c>
      <c r="AM67" s="363">
        <f t="shared" si="25"/>
        <v>0</v>
      </c>
      <c r="AN67" s="363">
        <f t="shared" si="25"/>
        <v>0</v>
      </c>
      <c r="AO67" s="363">
        <f t="shared" si="25"/>
        <v>0</v>
      </c>
      <c r="AP67" s="363">
        <f t="shared" si="25"/>
        <v>0</v>
      </c>
      <c r="AQ67" s="363">
        <f t="shared" si="25"/>
        <v>0</v>
      </c>
      <c r="AR67" s="363">
        <f t="shared" si="25"/>
        <v>0</v>
      </c>
    </row>
    <row r="68" spans="1:49" ht="12">
      <c r="G68" s="16"/>
    </row>
    <row r="69" spans="1:49" ht="12">
      <c r="C69" s="96" t="s">
        <v>601</v>
      </c>
      <c r="G69" s="16" t="s">
        <v>438</v>
      </c>
      <c r="H69" t="s">
        <v>64</v>
      </c>
      <c r="I69" s="350"/>
      <c r="J69" s="350"/>
      <c r="K69" s="338">
        <f t="shared" ref="K69:AR69" si="26">K70+K72</f>
        <v>68</v>
      </c>
      <c r="L69" s="338">
        <f t="shared" si="26"/>
        <v>65</v>
      </c>
      <c r="M69" s="338">
        <f t="shared" si="26"/>
        <v>87</v>
      </c>
      <c r="N69" s="338">
        <f t="shared" si="26"/>
        <v>97</v>
      </c>
      <c r="O69" s="338">
        <f t="shared" si="26"/>
        <v>161</v>
      </c>
      <c r="P69" s="338">
        <f t="shared" si="26"/>
        <v>221</v>
      </c>
      <c r="Q69" s="338">
        <f t="shared" si="26"/>
        <v>364</v>
      </c>
      <c r="R69" s="338">
        <f t="shared" si="26"/>
        <v>279</v>
      </c>
      <c r="S69" s="338">
        <f t="shared" si="26"/>
        <v>667</v>
      </c>
      <c r="T69" s="338">
        <f t="shared" si="26"/>
        <v>1133.0000000000002</v>
      </c>
      <c r="U69" s="338">
        <f t="shared" si="26"/>
        <v>250</v>
      </c>
      <c r="V69" s="338">
        <f t="shared" si="26"/>
        <v>282</v>
      </c>
      <c r="W69" s="338">
        <f t="shared" si="26"/>
        <v>387</v>
      </c>
      <c r="X69" s="338">
        <f t="shared" si="26"/>
        <v>294</v>
      </c>
      <c r="Y69" s="338">
        <f t="shared" si="26"/>
        <v>281</v>
      </c>
      <c r="Z69" s="338">
        <f t="shared" si="26"/>
        <v>337</v>
      </c>
      <c r="AA69" s="338">
        <f t="shared" si="26"/>
        <v>760.00000000000011</v>
      </c>
      <c r="AB69" s="338">
        <f t="shared" si="26"/>
        <v>120</v>
      </c>
      <c r="AC69" s="338">
        <f t="shared" si="26"/>
        <v>281</v>
      </c>
      <c r="AD69" s="338">
        <f t="shared" si="26"/>
        <v>392</v>
      </c>
      <c r="AE69" s="338">
        <f t="shared" si="26"/>
        <v>371</v>
      </c>
      <c r="AF69" s="338">
        <f t="shared" si="26"/>
        <v>583</v>
      </c>
      <c r="AG69" s="338">
        <f t="shared" si="26"/>
        <v>1094</v>
      </c>
      <c r="AH69" s="338">
        <f t="shared" si="26"/>
        <v>1534</v>
      </c>
      <c r="AI69" s="338">
        <f t="shared" si="26"/>
        <v>1931</v>
      </c>
      <c r="AJ69" s="338">
        <f t="shared" si="26"/>
        <v>263</v>
      </c>
      <c r="AK69" s="338">
        <f t="shared" si="26"/>
        <v>322</v>
      </c>
      <c r="AL69" s="338">
        <f t="shared" si="26"/>
        <v>404</v>
      </c>
      <c r="AM69" s="338">
        <f t="shared" si="26"/>
        <v>344</v>
      </c>
      <c r="AN69" s="338">
        <f t="shared" si="26"/>
        <v>389</v>
      </c>
      <c r="AO69" s="338">
        <f t="shared" si="26"/>
        <v>774</v>
      </c>
      <c r="AP69" s="338">
        <f t="shared" si="26"/>
        <v>276</v>
      </c>
      <c r="AQ69" s="338">
        <f t="shared" si="26"/>
        <v>458</v>
      </c>
      <c r="AR69" s="338">
        <f t="shared" si="26"/>
        <v>1270</v>
      </c>
    </row>
    <row r="70" spans="1:49" ht="12">
      <c r="C70" t="s">
        <v>602</v>
      </c>
      <c r="G70" s="16" t="s">
        <v>438</v>
      </c>
      <c r="I70" s="351"/>
      <c r="J70" s="351"/>
      <c r="K70" s="285">
        <f>IF($AV$70="Banda ancha",K$71,#REF!)</f>
        <v>68</v>
      </c>
      <c r="L70" s="285">
        <f>IF($AV$70="Banda ancha",L$71,#REF!)</f>
        <v>65</v>
      </c>
      <c r="M70" s="285">
        <f>IF($AV$70="Banda ancha",M$71,#REF!)</f>
        <v>87</v>
      </c>
      <c r="N70" s="285">
        <f>IF($AV$70="Banda ancha",N$71,#REF!)</f>
        <v>82.892382471329839</v>
      </c>
      <c r="O70" s="285">
        <f>IF($AV$70="Banda ancha",O$71,#REF!)</f>
        <v>146.026710698849</v>
      </c>
      <c r="P70" s="285">
        <f>IF($AV$70="Banda ancha",P$71,#REF!)</f>
        <v>205.6388515843345</v>
      </c>
      <c r="Q70" s="285">
        <f>IF($AV$70="Banda ancha",Q$71,#REF!)</f>
        <v>348.2076168467795</v>
      </c>
      <c r="R70" s="285">
        <f>IF($AV$70="Banda ancha",R$71,#REF!)</f>
        <v>263.41363517022086</v>
      </c>
      <c r="S70" s="285">
        <f>IF($AV$70="Banda ancha",S$71,#REF!)</f>
        <v>650.89010808833734</v>
      </c>
      <c r="T70" s="285">
        <f>IF($AV$70="Banda ancha",T$71,#REF!)</f>
        <v>1116.7284671861291</v>
      </c>
      <c r="U70" s="285">
        <f>IF($AV$70="Banda ancha",U$71,#REF!)</f>
        <v>250</v>
      </c>
      <c r="V70" s="285">
        <f>IF($AV$70="Banda ancha",V$71,#REF!)</f>
        <v>282</v>
      </c>
      <c r="W70" s="285">
        <f>IF($AV$70="Banda ancha",W$71,#REF!)</f>
        <v>371.16679129190078</v>
      </c>
      <c r="X70" s="285">
        <f>IF($AV$70="Banda ancha",X$71,#REF!)</f>
        <v>278.36908298398066</v>
      </c>
      <c r="Y70" s="285">
        <f>IF($AV$70="Banda ancha",Y$71,#REF!)</f>
        <v>265.40743531048071</v>
      </c>
      <c r="Z70" s="285">
        <f>IF($AV$70="Banda ancha",Z$71,#REF!)</f>
        <v>321.26232106713491</v>
      </c>
      <c r="AA70" s="285">
        <f>IF($AV$70="Banda ancha",AA$71,#REF!)</f>
        <v>743.84235359422712</v>
      </c>
      <c r="AB70" s="285">
        <f>IF($AV$70="Banda ancha",AB$71,#REF!)</f>
        <v>120</v>
      </c>
      <c r="AC70" s="285">
        <f>IF($AV$70="Banda ancha",AC$71,#REF!)</f>
        <v>281</v>
      </c>
      <c r="AD70" s="285">
        <f>IF($AV$70="Banda ancha",AD$71,#REF!)</f>
        <v>392</v>
      </c>
      <c r="AE70" s="285">
        <f>IF($AV$70="Banda ancha",AE$71,#REF!)</f>
        <v>371</v>
      </c>
      <c r="AF70" s="285">
        <f>IF($AV$70="Banda ancha",AF$71,#REF!)</f>
        <v>583</v>
      </c>
      <c r="AG70" s="285">
        <f>IF($AV$70="Banda ancha",AG$71,#REF!)</f>
        <v>1094</v>
      </c>
      <c r="AH70" s="285">
        <f>IF($AV$70="Banda ancha",AH$71,#REF!)</f>
        <v>1534</v>
      </c>
      <c r="AI70" s="285">
        <f>IF($AV$70="Banda ancha",AI$71,#REF!)</f>
        <v>1931</v>
      </c>
      <c r="AJ70" s="285">
        <f>IF($AV$70="Banda ancha",AJ$71,#REF!)</f>
        <v>263</v>
      </c>
      <c r="AK70" s="285">
        <f>IF($AV$70="Banda ancha",AK$71,#REF!)</f>
        <v>322</v>
      </c>
      <c r="AL70" s="285">
        <f>IF($AV$70="Banda ancha",AL$71,#REF!)</f>
        <v>404</v>
      </c>
      <c r="AM70" s="285">
        <f>IF($AV$70="Banda ancha",AM$71,#REF!)</f>
        <v>344</v>
      </c>
      <c r="AN70" s="285">
        <f>IF($AV$70="Banda ancha",AN$71,#REF!)</f>
        <v>389</v>
      </c>
      <c r="AO70" s="285">
        <f>IF($AV$70="Banda ancha",AO$71,#REF!)</f>
        <v>774</v>
      </c>
      <c r="AP70" s="285">
        <f>IF($AV$70="Banda ancha",AP$71,#REF!)</f>
        <v>276</v>
      </c>
      <c r="AQ70" s="285">
        <f>IF($AV$70="Banda ancha",AQ$71,#REF!)</f>
        <v>458</v>
      </c>
      <c r="AR70" s="285">
        <f>IF($AV$70="Banda ancha",AR$71,#REF!)</f>
        <v>1270</v>
      </c>
      <c r="AS70" s="336" t="s">
        <v>603</v>
      </c>
      <c r="AV70" s="87" t="s">
        <v>176</v>
      </c>
      <c r="AW70" t="s">
        <v>604</v>
      </c>
    </row>
    <row r="71" spans="1:49" ht="12">
      <c r="C71" t="s">
        <v>605</v>
      </c>
      <c r="G71" s="16"/>
      <c r="I71" s="364"/>
      <c r="J71" s="364"/>
      <c r="K71" s="365">
        <f t="shared" ref="K71:AR72" si="27">K58*(1-K$67)</f>
        <v>68</v>
      </c>
      <c r="L71" s="365">
        <f t="shared" si="27"/>
        <v>65</v>
      </c>
      <c r="M71" s="365">
        <f t="shared" si="27"/>
        <v>87</v>
      </c>
      <c r="N71" s="365">
        <f t="shared" si="27"/>
        <v>82.892382471329839</v>
      </c>
      <c r="O71" s="365">
        <f t="shared" si="27"/>
        <v>146.026710698849</v>
      </c>
      <c r="P71" s="365">
        <f t="shared" si="27"/>
        <v>205.6388515843345</v>
      </c>
      <c r="Q71" s="365">
        <f t="shared" si="27"/>
        <v>348.2076168467795</v>
      </c>
      <c r="R71" s="365">
        <f t="shared" si="27"/>
        <v>263.41363517022086</v>
      </c>
      <c r="S71" s="365">
        <f t="shared" si="27"/>
        <v>650.89010808833734</v>
      </c>
      <c r="T71" s="365">
        <f t="shared" si="27"/>
        <v>1116.7284671861291</v>
      </c>
      <c r="U71" s="365">
        <f t="shared" si="27"/>
        <v>250</v>
      </c>
      <c r="V71" s="365">
        <f t="shared" si="27"/>
        <v>282</v>
      </c>
      <c r="W71" s="365">
        <f t="shared" si="27"/>
        <v>371.16679129190078</v>
      </c>
      <c r="X71" s="365">
        <f t="shared" si="27"/>
        <v>278.36908298398066</v>
      </c>
      <c r="Y71" s="365">
        <f t="shared" si="27"/>
        <v>265.40743531048071</v>
      </c>
      <c r="Z71" s="365">
        <f t="shared" si="27"/>
        <v>321.26232106713491</v>
      </c>
      <c r="AA71" s="365">
        <f t="shared" si="27"/>
        <v>743.84235359422712</v>
      </c>
      <c r="AB71" s="365">
        <f t="shared" si="27"/>
        <v>120</v>
      </c>
      <c r="AC71" s="365">
        <f t="shared" si="27"/>
        <v>281</v>
      </c>
      <c r="AD71" s="365">
        <f t="shared" si="27"/>
        <v>392</v>
      </c>
      <c r="AE71" s="365">
        <f t="shared" si="27"/>
        <v>371</v>
      </c>
      <c r="AF71" s="365">
        <f t="shared" si="27"/>
        <v>583</v>
      </c>
      <c r="AG71" s="365">
        <f t="shared" si="27"/>
        <v>1094</v>
      </c>
      <c r="AH71" s="365">
        <f t="shared" si="27"/>
        <v>1534</v>
      </c>
      <c r="AI71" s="365">
        <f t="shared" si="27"/>
        <v>1931</v>
      </c>
      <c r="AJ71" s="365">
        <f t="shared" si="27"/>
        <v>263</v>
      </c>
      <c r="AK71" s="365">
        <f t="shared" si="27"/>
        <v>322</v>
      </c>
      <c r="AL71" s="365">
        <f t="shared" si="27"/>
        <v>404</v>
      </c>
      <c r="AM71" s="365">
        <f t="shared" si="27"/>
        <v>344</v>
      </c>
      <c r="AN71" s="365">
        <f t="shared" si="27"/>
        <v>389</v>
      </c>
      <c r="AO71" s="365">
        <f t="shared" si="27"/>
        <v>774</v>
      </c>
      <c r="AP71" s="365">
        <f t="shared" si="27"/>
        <v>276</v>
      </c>
      <c r="AQ71" s="365">
        <f t="shared" si="27"/>
        <v>458</v>
      </c>
      <c r="AR71" s="365">
        <f t="shared" si="27"/>
        <v>1270</v>
      </c>
      <c r="AS71" s="336"/>
    </row>
    <row r="72" spans="1:49" ht="12">
      <c r="C72" s="98" t="s">
        <v>606</v>
      </c>
      <c r="D72" s="98"/>
      <c r="E72" s="98"/>
      <c r="F72" s="98"/>
      <c r="G72" s="356" t="s">
        <v>438</v>
      </c>
      <c r="I72" s="352"/>
      <c r="J72" s="352"/>
      <c r="K72" s="340">
        <f t="shared" si="27"/>
        <v>0</v>
      </c>
      <c r="L72" s="340">
        <f t="shared" si="27"/>
        <v>0</v>
      </c>
      <c r="M72" s="340">
        <f t="shared" si="27"/>
        <v>0</v>
      </c>
      <c r="N72" s="340">
        <f t="shared" si="27"/>
        <v>14.107617528670161</v>
      </c>
      <c r="O72" s="340">
        <f t="shared" si="27"/>
        <v>14.97328930115099</v>
      </c>
      <c r="P72" s="340">
        <f t="shared" si="27"/>
        <v>15.361148415665495</v>
      </c>
      <c r="Q72" s="340">
        <f t="shared" si="27"/>
        <v>15.792383153220509</v>
      </c>
      <c r="R72" s="340">
        <f t="shared" si="27"/>
        <v>15.586364829779168</v>
      </c>
      <c r="S72" s="340">
        <f t="shared" si="27"/>
        <v>16.109891911662697</v>
      </c>
      <c r="T72" s="340">
        <f t="shared" si="27"/>
        <v>16.271532813870998</v>
      </c>
      <c r="U72" s="340">
        <f t="shared" si="27"/>
        <v>0</v>
      </c>
      <c r="V72" s="340">
        <f t="shared" si="27"/>
        <v>0</v>
      </c>
      <c r="W72" s="340">
        <f t="shared" si="27"/>
        <v>15.833208708099217</v>
      </c>
      <c r="X72" s="340">
        <f t="shared" si="27"/>
        <v>15.630917016019325</v>
      </c>
      <c r="Y72" s="340">
        <f t="shared" si="27"/>
        <v>15.592564689519286</v>
      </c>
      <c r="Z72" s="340">
        <f t="shared" si="27"/>
        <v>15.737678932865123</v>
      </c>
      <c r="AA72" s="340">
        <f t="shared" si="27"/>
        <v>16.157646405772972</v>
      </c>
      <c r="AB72" s="340">
        <f t="shared" si="27"/>
        <v>0</v>
      </c>
      <c r="AC72" s="340">
        <f t="shared" si="27"/>
        <v>0</v>
      </c>
      <c r="AD72" s="340">
        <f t="shared" si="27"/>
        <v>0</v>
      </c>
      <c r="AE72" s="340">
        <f t="shared" si="27"/>
        <v>0</v>
      </c>
      <c r="AF72" s="340">
        <f t="shared" si="27"/>
        <v>0</v>
      </c>
      <c r="AG72" s="340">
        <f t="shared" si="27"/>
        <v>0</v>
      </c>
      <c r="AH72" s="340">
        <f t="shared" si="27"/>
        <v>0</v>
      </c>
      <c r="AI72" s="340">
        <f t="shared" si="27"/>
        <v>0</v>
      </c>
      <c r="AJ72" s="340">
        <f t="shared" si="27"/>
        <v>0</v>
      </c>
      <c r="AK72" s="340">
        <f t="shared" si="27"/>
        <v>0</v>
      </c>
      <c r="AL72" s="340">
        <f t="shared" si="27"/>
        <v>0</v>
      </c>
      <c r="AM72" s="340">
        <f t="shared" si="27"/>
        <v>0</v>
      </c>
      <c r="AN72" s="340">
        <f t="shared" si="27"/>
        <v>0</v>
      </c>
      <c r="AO72" s="340">
        <f t="shared" si="27"/>
        <v>0</v>
      </c>
      <c r="AP72" s="340">
        <f t="shared" si="27"/>
        <v>0</v>
      </c>
      <c r="AQ72" s="340">
        <f t="shared" si="27"/>
        <v>0</v>
      </c>
      <c r="AR72" s="340">
        <f t="shared" si="27"/>
        <v>0</v>
      </c>
    </row>
    <row r="73" spans="1:49" ht="12"/>
    <row r="74" spans="1:49" ht="12"/>
    <row r="75" spans="1:49" ht="12">
      <c r="G75" s="16"/>
    </row>
    <row r="76" spans="1:49" ht="12">
      <c r="A76" s="94" t="s">
        <v>366</v>
      </c>
      <c r="B76" s="94" t="s">
        <v>300</v>
      </c>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row>
  </sheetData>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B8CD02-315E-48E2-B5A2-9B943637E9DB}">
          <x14:formula1>
            <xm:f>Listas!$V$6:$V$8</xm:f>
          </x14:formula1>
          <xm:sqref>AV70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BF137-E45C-4D12-AB7F-BC211D048395}">
  <dimension ref="A1:P106"/>
  <sheetViews>
    <sheetView showGridLines="0" zoomScaleNormal="100" workbookViewId="0">
      <pane xSplit="9" ySplit="2" topLeftCell="J3" activePane="bottomRight" state="frozen"/>
      <selection activeCell="D111" sqref="D111"/>
      <selection pane="topRight" activeCell="D111" sqref="D111"/>
      <selection pane="bottomLeft" activeCell="D111" sqref="D111"/>
      <selection pane="bottomRight" sqref="A1:XFD1048576"/>
    </sheetView>
  </sheetViews>
  <sheetFormatPr baseColWidth="10" defaultRowHeight="11.45" customHeight="1"/>
  <cols>
    <col min="1" max="2" width="6.85546875" customWidth="1"/>
    <col min="3" max="3" width="4.85546875" customWidth="1"/>
    <col min="4" max="4" width="26.140625" customWidth="1"/>
    <col min="5" max="5" width="23" customWidth="1"/>
    <col min="6" max="6" width="10.85546875" customWidth="1"/>
    <col min="7" max="7" width="5.85546875" customWidth="1"/>
    <col min="8" max="8" width="10.5703125" customWidth="1"/>
    <col min="9" max="9" width="8.140625" customWidth="1"/>
    <col min="10" max="10" width="25.85546875" customWidth="1"/>
    <col min="11" max="11" width="23.140625" customWidth="1"/>
    <col min="12" max="12" width="24" customWidth="1"/>
    <col min="13" max="13" width="25.85546875" customWidth="1"/>
    <col min="14" max="14" width="20.85546875" bestFit="1" customWidth="1"/>
    <col min="16" max="16" width="11.42578125" customWidth="1"/>
    <col min="17" max="17" width="11" customWidth="1"/>
    <col min="19" max="19" width="11" customWidth="1"/>
  </cols>
  <sheetData>
    <row r="1" spans="1:16" ht="33.75" customHeight="1">
      <c r="A1" s="84"/>
      <c r="B1" s="84"/>
      <c r="C1" s="84" t="s">
        <v>607</v>
      </c>
      <c r="D1" s="84"/>
      <c r="E1" s="84"/>
      <c r="F1" s="84"/>
      <c r="G1" s="84"/>
      <c r="H1" s="84"/>
      <c r="I1" s="84"/>
      <c r="J1" s="84"/>
      <c r="K1" s="84"/>
      <c r="L1" s="84"/>
      <c r="M1" s="84"/>
      <c r="N1" s="84"/>
      <c r="O1" s="84"/>
      <c r="P1" s="84"/>
    </row>
    <row r="2" spans="1:16" ht="12">
      <c r="C2" s="70"/>
      <c r="D2" s="70" t="s">
        <v>212</v>
      </c>
      <c r="E2" s="40"/>
      <c r="F2" s="40"/>
      <c r="G2" s="40"/>
      <c r="H2" s="40" t="s">
        <v>213</v>
      </c>
      <c r="I2" s="40"/>
      <c r="J2" s="40" t="s">
        <v>608</v>
      </c>
      <c r="K2" s="40"/>
      <c r="L2" s="40"/>
      <c r="M2" s="40" t="s">
        <v>609</v>
      </c>
      <c r="N2" s="40"/>
      <c r="O2" s="40"/>
      <c r="P2" s="40" t="s">
        <v>215</v>
      </c>
    </row>
    <row r="3" spans="1:16" ht="12">
      <c r="A3" s="94">
        <v>1</v>
      </c>
      <c r="B3" s="94" t="s">
        <v>610</v>
      </c>
      <c r="C3" s="73"/>
      <c r="D3" s="73"/>
      <c r="E3" s="73"/>
      <c r="F3" s="73"/>
      <c r="G3" s="73"/>
      <c r="H3" s="73"/>
      <c r="I3" s="73"/>
      <c r="J3" s="73"/>
      <c r="K3" s="73"/>
      <c r="L3" s="73"/>
      <c r="M3" s="73"/>
      <c r="N3" s="73"/>
      <c r="O3" s="73"/>
      <c r="P3" s="73"/>
    </row>
    <row r="4" spans="1:16" ht="12"/>
    <row r="5" spans="1:16" ht="12">
      <c r="B5" s="94">
        <v>1.1000000000000001</v>
      </c>
      <c r="C5" s="94" t="s">
        <v>611</v>
      </c>
      <c r="D5" s="94"/>
      <c r="E5" s="94"/>
      <c r="F5" s="94"/>
      <c r="G5" s="94"/>
      <c r="H5" s="73"/>
      <c r="I5" s="73"/>
      <c r="J5" s="73"/>
      <c r="K5" s="73"/>
      <c r="L5" s="73"/>
      <c r="M5" s="73"/>
      <c r="N5" s="73"/>
      <c r="O5" s="73"/>
      <c r="P5" s="73"/>
    </row>
    <row r="6" spans="1:16" ht="12"/>
    <row r="7" spans="1:16" ht="12">
      <c r="C7" s="96" t="s">
        <v>612</v>
      </c>
    </row>
    <row r="8" spans="1:16" ht="12">
      <c r="D8" t="str">
        <f>"Número de líneas en "&amp;Year.selected-1</f>
        <v>Número de líneas en 2023</v>
      </c>
      <c r="H8" s="16" t="s">
        <v>338</v>
      </c>
      <c r="J8" s="366">
        <f>INDEX(AEP.telephone.lines,MATCH(Year.selected-1,Years,0))</f>
        <v>10115240</v>
      </c>
      <c r="M8" s="366">
        <f>J8</f>
        <v>10115240</v>
      </c>
    </row>
    <row r="9" spans="1:16" ht="12">
      <c r="D9" t="str">
        <f>"Número de líneas en "&amp;Year.selected</f>
        <v>Número de líneas en 2024</v>
      </c>
      <c r="H9" s="16" t="s">
        <v>338</v>
      </c>
      <c r="J9" s="366">
        <f>INDEX(AEP.telephone.lines,MATCH(Year.selected,Years,0))</f>
        <v>10218136</v>
      </c>
      <c r="M9" s="366">
        <f>J9</f>
        <v>10218136</v>
      </c>
    </row>
    <row r="10" spans="1:16" ht="12">
      <c r="D10" t="s">
        <v>613</v>
      </c>
      <c r="H10" s="16" t="s">
        <v>338</v>
      </c>
      <c r="J10" s="367">
        <f>J9-J8</f>
        <v>102896</v>
      </c>
      <c r="M10" s="367">
        <f>J10</f>
        <v>102896</v>
      </c>
    </row>
    <row r="11" spans="1:16" ht="12"/>
    <row r="12" spans="1:16" ht="12">
      <c r="D12" t="s">
        <v>222</v>
      </c>
      <c r="H12" s="16" t="s">
        <v>223</v>
      </c>
      <c r="J12" s="368">
        <f>Line.rental.churn</f>
        <v>1.3699999999999999E-2</v>
      </c>
      <c r="M12" s="368">
        <f>J12</f>
        <v>1.3699999999999999E-2</v>
      </c>
    </row>
    <row r="13" spans="1:16" ht="12"/>
    <row r="14" spans="1:16" ht="12">
      <c r="D14" t="s">
        <v>614</v>
      </c>
      <c r="H14" s="16" t="s">
        <v>338</v>
      </c>
      <c r="J14" s="367">
        <f>J8*J12+J10</f>
        <v>241474.788</v>
      </c>
      <c r="M14" s="367">
        <f>J14</f>
        <v>241474.788</v>
      </c>
    </row>
    <row r="15" spans="1:16" ht="12"/>
    <row r="16" spans="1:16" ht="12">
      <c r="C16" s="96" t="s">
        <v>615</v>
      </c>
    </row>
    <row r="17" spans="3:13" ht="12">
      <c r="D17" t="str">
        <f>"Número de líneas en "&amp;Year.selected-1</f>
        <v>Número de líneas en 2023</v>
      </c>
      <c r="H17" s="16" t="s">
        <v>338</v>
      </c>
      <c r="J17" s="367">
        <f>INDEX(AEP.telephone.lines.voice.only.residential,MATCH(Year.selected-1,Years,0))</f>
        <v>1471983.470283021</v>
      </c>
      <c r="M17" s="366">
        <f>J17</f>
        <v>1471983.470283021</v>
      </c>
    </row>
    <row r="18" spans="3:13" ht="12">
      <c r="D18" t="str">
        <f>"Número de líneas en "&amp;Year.selected</f>
        <v>Número de líneas en 2024</v>
      </c>
      <c r="H18" s="16" t="s">
        <v>338</v>
      </c>
      <c r="J18" s="367">
        <f>INDEX(AEP.telephone.lines.voice.only.residential,MATCH(Year.selected,Years,0))</f>
        <v>1184287.0621613099</v>
      </c>
      <c r="M18" s="366">
        <f>J18</f>
        <v>1184287.0621613099</v>
      </c>
    </row>
    <row r="19" spans="3:13" ht="12">
      <c r="D19" t="s">
        <v>613</v>
      </c>
      <c r="H19" s="16" t="s">
        <v>338</v>
      </c>
      <c r="J19" s="369">
        <f>J18-J17</f>
        <v>-287696.40812171111</v>
      </c>
      <c r="M19" s="366">
        <f>J19</f>
        <v>-287696.40812171111</v>
      </c>
    </row>
    <row r="20" spans="3:13" ht="12"/>
    <row r="21" spans="3:13" ht="12">
      <c r="D21" t="s">
        <v>222</v>
      </c>
      <c r="H21" s="16" t="s">
        <v>223</v>
      </c>
      <c r="J21" s="368">
        <f>Line.rental.churn</f>
        <v>1.3699999999999999E-2</v>
      </c>
      <c r="M21" s="368">
        <f>J21</f>
        <v>1.3699999999999999E-2</v>
      </c>
    </row>
    <row r="22" spans="3:13" ht="12"/>
    <row r="23" spans="3:13" ht="12">
      <c r="D23" t="s">
        <v>614</v>
      </c>
      <c r="H23" s="16" t="s">
        <v>338</v>
      </c>
      <c r="J23" s="369">
        <f>J17*J21+J19</f>
        <v>-267530.23457883374</v>
      </c>
      <c r="M23" s="366">
        <f>J23</f>
        <v>-267530.23457883374</v>
      </c>
    </row>
    <row r="24" spans="3:13" ht="12"/>
    <row r="25" spans="3:13" ht="12">
      <c r="C25" s="96" t="s">
        <v>616</v>
      </c>
    </row>
    <row r="26" spans="3:13" ht="12">
      <c r="D26" t="str">
        <f>"Número de líneas en "&amp;Year.selected-1</f>
        <v>Número de líneas en 2023</v>
      </c>
      <c r="H26" s="16" t="s">
        <v>338</v>
      </c>
      <c r="J26" s="367">
        <f>INDEX(AEP.telephone.lines.voice.only.noresidential,MATCH(Year.selected-1,Years,0))</f>
        <v>668213.99799552304</v>
      </c>
      <c r="M26" s="366">
        <f>J26</f>
        <v>668213.99799552304</v>
      </c>
    </row>
    <row r="27" spans="3:13" ht="12">
      <c r="D27" t="str">
        <f>"Número de líneas en "&amp;Year.selected</f>
        <v>Número de líneas en 2024</v>
      </c>
      <c r="H27" s="16" t="s">
        <v>338</v>
      </c>
      <c r="J27" s="367">
        <f>INDEX(AEP.telephone.lines.voice.only.noresidential,MATCH(Year.selected,Years,0))</f>
        <v>502147.3667758496</v>
      </c>
      <c r="M27" s="366">
        <f>J27</f>
        <v>502147.3667758496</v>
      </c>
    </row>
    <row r="28" spans="3:13" ht="12">
      <c r="D28" t="s">
        <v>613</v>
      </c>
      <c r="H28" s="16" t="s">
        <v>338</v>
      </c>
      <c r="J28" s="369">
        <f>J27-J26</f>
        <v>-166066.63121967344</v>
      </c>
      <c r="M28" s="366">
        <f>J28</f>
        <v>-166066.63121967344</v>
      </c>
    </row>
    <row r="29" spans="3:13" ht="12"/>
    <row r="30" spans="3:13" ht="12">
      <c r="D30" t="s">
        <v>222</v>
      </c>
      <c r="H30" s="16" t="s">
        <v>223</v>
      </c>
      <c r="J30" s="368">
        <f>Line.rental.churn</f>
        <v>1.3699999999999999E-2</v>
      </c>
      <c r="M30" s="368">
        <f>J30</f>
        <v>1.3699999999999999E-2</v>
      </c>
    </row>
    <row r="31" spans="3:13" ht="12"/>
    <row r="32" spans="3:13" ht="12">
      <c r="D32" t="s">
        <v>614</v>
      </c>
      <c r="H32" s="16" t="s">
        <v>338</v>
      </c>
      <c r="J32" s="369">
        <f>J26*J30+J28</f>
        <v>-156912.09944713477</v>
      </c>
      <c r="M32" s="366">
        <f>J32</f>
        <v>-156912.09944713477</v>
      </c>
    </row>
    <row r="33" spans="2:16" ht="12"/>
    <row r="34" spans="2:16" ht="12">
      <c r="C34" s="96" t="s">
        <v>617</v>
      </c>
    </row>
    <row r="35" spans="2:16" ht="12">
      <c r="D35" t="s">
        <v>326</v>
      </c>
      <c r="H35" s="16" t="s">
        <v>338</v>
      </c>
      <c r="J35" s="369">
        <f>AVERAGE(J17:J18)</f>
        <v>1328135.2662221654</v>
      </c>
      <c r="M35" s="366">
        <f>J35</f>
        <v>1328135.2662221654</v>
      </c>
    </row>
    <row r="36" spans="2:16" ht="12">
      <c r="D36" t="s">
        <v>618</v>
      </c>
      <c r="H36" s="16" t="s">
        <v>338</v>
      </c>
      <c r="J36" s="369">
        <f>AVERAGE(J26:J27)</f>
        <v>585180.68238568632</v>
      </c>
      <c r="M36" s="366">
        <f>J36</f>
        <v>585180.68238568632</v>
      </c>
    </row>
    <row r="37" spans="2:16" ht="12"/>
    <row r="38" spans="2:16" ht="12">
      <c r="C38" s="96" t="s">
        <v>619</v>
      </c>
    </row>
    <row r="39" spans="2:16" ht="12">
      <c r="D39" t="s">
        <v>326</v>
      </c>
      <c r="H39" s="16" t="s">
        <v>338</v>
      </c>
      <c r="J39" s="369">
        <f>Broadband.gross.adds.residential.with.line.rental</f>
        <v>414309.53220200853</v>
      </c>
      <c r="M39" s="366">
        <f>J39</f>
        <v>414309.53220200853</v>
      </c>
    </row>
    <row r="40" spans="2:16" ht="12">
      <c r="D40" t="s">
        <v>618</v>
      </c>
      <c r="H40" s="16" t="s">
        <v>338</v>
      </c>
      <c r="J40" s="369">
        <f>Broadband.gross.adds.non.residential</f>
        <v>54145.301997994917</v>
      </c>
      <c r="M40" s="366">
        <f>J40</f>
        <v>54145.301997994917</v>
      </c>
    </row>
    <row r="41" spans="2:16" ht="12"/>
    <row r="42" spans="2:16" ht="12">
      <c r="C42" s="96" t="s">
        <v>620</v>
      </c>
    </row>
    <row r="43" spans="2:16" ht="12">
      <c r="D43" t="s">
        <v>326</v>
      </c>
      <c r="H43" s="16" t="s">
        <v>338</v>
      </c>
      <c r="J43" s="369">
        <f>MAX(0,J39,J23)</f>
        <v>414309.53220200853</v>
      </c>
      <c r="M43" s="366">
        <f>J43</f>
        <v>414309.53220200853</v>
      </c>
    </row>
    <row r="44" spans="2:16" ht="12">
      <c r="D44" t="s">
        <v>618</v>
      </c>
      <c r="H44" s="16" t="s">
        <v>338</v>
      </c>
      <c r="J44" s="369">
        <f>MAX(0,J40,J24)</f>
        <v>54145.301997994917</v>
      </c>
      <c r="M44" s="366">
        <f>J44</f>
        <v>54145.301997994917</v>
      </c>
    </row>
    <row r="45" spans="2:16" ht="12"/>
    <row r="46" spans="2:16" ht="12">
      <c r="B46" s="94">
        <v>1.2</v>
      </c>
      <c r="C46" s="94" t="s">
        <v>621</v>
      </c>
      <c r="D46" s="94"/>
      <c r="E46" s="94"/>
      <c r="F46" s="94"/>
      <c r="G46" s="94"/>
      <c r="H46" s="73"/>
      <c r="I46" s="73"/>
      <c r="J46" s="73"/>
      <c r="K46" s="73"/>
      <c r="L46" s="73"/>
      <c r="M46" s="73"/>
      <c r="N46" s="73"/>
      <c r="O46" s="73"/>
      <c r="P46" s="73"/>
    </row>
    <row r="47" spans="2:16" ht="12">
      <c r="C47" s="96"/>
    </row>
    <row r="48" spans="2:16" ht="17.25">
      <c r="C48" s="95">
        <v>1</v>
      </c>
      <c r="D48" t="s">
        <v>622</v>
      </c>
      <c r="H48" s="16" t="s">
        <v>623</v>
      </c>
      <c r="J48" s="370">
        <v>1565016385</v>
      </c>
      <c r="K48" s="371"/>
      <c r="M48" s="112">
        <v>0</v>
      </c>
      <c r="P48" s="98"/>
    </row>
    <row r="49" spans="2:16" ht="12">
      <c r="K49" s="249"/>
      <c r="P49" s="98"/>
    </row>
    <row r="50" spans="2:16" ht="12">
      <c r="C50" s="372">
        <f>1+C48</f>
        <v>2</v>
      </c>
      <c r="D50" t="s">
        <v>624</v>
      </c>
      <c r="H50" s="16" t="s">
        <v>623</v>
      </c>
      <c r="J50" s="367">
        <f>SUMPRODUCT(vector.users.telephone,vector.periodicity,vector.implicit.prices.line.rental.before.discount)</f>
        <v>20434976143.181313</v>
      </c>
      <c r="M50" s="367">
        <f>SUMPRODUCT(vector.users.telephone,vector.periodicity,vector.implicit.prices.voice.before.discount)</f>
        <v>3332470324.1609559</v>
      </c>
      <c r="P50" s="373"/>
    </row>
    <row r="51" spans="2:16" ht="12">
      <c r="C51" s="91">
        <f>1+C50</f>
        <v>3</v>
      </c>
      <c r="D51" t="s">
        <v>625</v>
      </c>
      <c r="H51" s="16" t="s">
        <v>623</v>
      </c>
      <c r="J51" s="367">
        <f>SUMPRODUCT(vector.users.telephone,vector.periodicity,vector.implicit.prices.line.rental.after.discount)</f>
        <v>15860969495.832743</v>
      </c>
      <c r="M51" s="367">
        <f>SUMPRODUCT(vector.users.telephone,vector.periodicity,vector.implicit.prices.voice.after.discount)</f>
        <v>2390886148.1759591</v>
      </c>
      <c r="P51" s="373"/>
    </row>
    <row r="52" spans="2:16" ht="12">
      <c r="P52" s="373"/>
    </row>
    <row r="53" spans="2:16" ht="12">
      <c r="C53" s="91">
        <v>5</v>
      </c>
      <c r="D53" s="96" t="s">
        <v>64</v>
      </c>
      <c r="H53" s="16" t="s">
        <v>623</v>
      </c>
      <c r="J53" s="374">
        <f>J48+J51</f>
        <v>17425985880.832741</v>
      </c>
      <c r="K53" s="375">
        <f>J53/SUM($J$53,$M$53)</f>
        <v>0.8793509820986839</v>
      </c>
      <c r="M53" s="374">
        <f>M48+M51</f>
        <v>2390886148.1759591</v>
      </c>
      <c r="N53" s="375">
        <f>M53/SUM($J$53,$M$53)</f>
        <v>0.12064901790131601</v>
      </c>
      <c r="P53" s="373"/>
    </row>
    <row r="54" spans="2:16" ht="12"/>
    <row r="55" spans="2:16" ht="12">
      <c r="B55" s="94">
        <v>1.2</v>
      </c>
      <c r="C55" s="94" t="s">
        <v>626</v>
      </c>
      <c r="D55" s="94"/>
      <c r="E55" s="94"/>
      <c r="F55" s="94"/>
      <c r="G55" s="94"/>
      <c r="H55" s="73"/>
      <c r="I55" s="73"/>
      <c r="J55" s="73"/>
      <c r="K55" s="73"/>
      <c r="L55" s="73"/>
      <c r="M55" s="73"/>
      <c r="N55" s="73"/>
      <c r="O55" s="73"/>
      <c r="P55" s="73"/>
    </row>
    <row r="56" spans="2:16" ht="12"/>
    <row r="57" spans="2:16" ht="12">
      <c r="C57" s="96" t="s">
        <v>627</v>
      </c>
      <c r="J57" s="374">
        <f>J59</f>
        <v>697465216.81591165</v>
      </c>
      <c r="K57" s="375">
        <f>J57/J$98</f>
        <v>3.170297516794518E-2</v>
      </c>
      <c r="M57" s="374">
        <f>M59</f>
        <v>95693864.159151793</v>
      </c>
      <c r="N57" s="375">
        <f>M57/M$98</f>
        <v>2.8715593793995884E-2</v>
      </c>
    </row>
    <row r="58" spans="2:16" ht="12">
      <c r="C58" s="372">
        <f>1+C53</f>
        <v>6</v>
      </c>
      <c r="D58" t="str">
        <f>Control!D14</f>
        <v>Costos de facturación (incluyendo el sistema de facturación a clientes minoristas) sobre el total de ingresos</v>
      </c>
      <c r="H58" s="16" t="s">
        <v>223</v>
      </c>
      <c r="J58" s="376">
        <f>Billing.cost</f>
        <v>4.0024433715573612E-2</v>
      </c>
      <c r="M58" s="377">
        <f>Billing.cost</f>
        <v>4.0024433715573612E-2</v>
      </c>
    </row>
    <row r="59" spans="2:16" ht="12">
      <c r="C59" s="91">
        <f>1+C58</f>
        <v>7</v>
      </c>
      <c r="D59" t="s">
        <v>628</v>
      </c>
      <c r="H59" t="s">
        <v>623</v>
      </c>
      <c r="J59" s="367">
        <f>J58*J$53</f>
        <v>697465216.81591165</v>
      </c>
      <c r="M59" s="367">
        <f>M58*M$53</f>
        <v>95693864.159151793</v>
      </c>
    </row>
    <row r="60" spans="2:16" ht="12"/>
    <row r="61" spans="2:16" ht="12">
      <c r="C61" s="96" t="s">
        <v>629</v>
      </c>
      <c r="J61" s="374">
        <f>J63</f>
        <v>341874442.57914823</v>
      </c>
      <c r="K61" s="375">
        <f>J61/J$98</f>
        <v>1.55397526676983E-2</v>
      </c>
      <c r="M61" s="374">
        <f>M63</f>
        <v>46905975.637046844</v>
      </c>
      <c r="N61" s="375">
        <f>M61/M$98</f>
        <v>1.4075436860448789E-2</v>
      </c>
    </row>
    <row r="62" spans="2:16" ht="12">
      <c r="C62" s="91">
        <f>1+C59</f>
        <v>8</v>
      </c>
      <c r="D62" t="s">
        <v>630</v>
      </c>
      <c r="H62" s="16" t="s">
        <v>223</v>
      </c>
      <c r="J62" s="376">
        <f>Bad.debt.cost</f>
        <v>1.9618657154725699E-2</v>
      </c>
      <c r="M62" s="377">
        <f>Bad.debt.cost</f>
        <v>1.9618657154725699E-2</v>
      </c>
    </row>
    <row r="63" spans="2:16" ht="12">
      <c r="C63" s="91">
        <f>1+C62</f>
        <v>9</v>
      </c>
      <c r="D63" t="s">
        <v>628</v>
      </c>
      <c r="H63" t="s">
        <v>623</v>
      </c>
      <c r="J63" s="367">
        <f>J62*J$53</f>
        <v>341874442.57914823</v>
      </c>
      <c r="M63" s="367">
        <f>M62*M$53</f>
        <v>46905975.637046844</v>
      </c>
    </row>
    <row r="64" spans="2:16" ht="12"/>
    <row r="65" spans="3:16" ht="12">
      <c r="C65" s="96" t="s">
        <v>234</v>
      </c>
      <c r="J65" s="374">
        <f>J68</f>
        <v>0</v>
      </c>
      <c r="K65" s="375">
        <f>J65/J$98</f>
        <v>0</v>
      </c>
      <c r="M65" s="374">
        <f>M68</f>
        <v>0</v>
      </c>
      <c r="N65" s="375">
        <f>M65/M$98</f>
        <v>0</v>
      </c>
    </row>
    <row r="66" spans="3:16" ht="12">
      <c r="C66" s="91">
        <f>1+C63</f>
        <v>10</v>
      </c>
      <c r="D66" t="s">
        <v>631</v>
      </c>
      <c r="J66" s="378">
        <f>Marketing.and.sales.per.gross.add.line.rental</f>
        <v>0</v>
      </c>
      <c r="M66" s="378">
        <f>Marketing.and.sales.per.gross.add.line.rental</f>
        <v>0</v>
      </c>
    </row>
    <row r="67" spans="3:16" ht="12">
      <c r="C67" s="91">
        <f>1+C66</f>
        <v>11</v>
      </c>
      <c r="D67" t="s">
        <v>632</v>
      </c>
      <c r="J67" s="376">
        <f>Marketing.and.sales.minimum.proportion.line.rental</f>
        <v>0</v>
      </c>
      <c r="M67" s="376">
        <f>Marketing.and.sales.minimum.proportion.line.rental</f>
        <v>0</v>
      </c>
    </row>
    <row r="68" spans="3:16" ht="12">
      <c r="C68" s="91">
        <f>1+C67</f>
        <v>12</v>
      </c>
      <c r="D68" t="s">
        <v>633</v>
      </c>
      <c r="J68" s="367">
        <f>MAX(J66*J23,J$53*J67)</f>
        <v>0</v>
      </c>
      <c r="M68" s="367">
        <f>MAX(M66*M23,M$53*M67)</f>
        <v>0</v>
      </c>
    </row>
    <row r="69" spans="3:16" ht="12"/>
    <row r="70" spans="3:16" ht="12">
      <c r="C70" s="96" t="s">
        <v>246</v>
      </c>
      <c r="J70" s="374">
        <f>J73</f>
        <v>407807613.75502914</v>
      </c>
      <c r="K70" s="375">
        <f>J70/J$98</f>
        <v>1.8536716011727739E-2</v>
      </c>
      <c r="M70" s="374">
        <f>M73</f>
        <v>55952161.416591108</v>
      </c>
      <c r="N70" s="375">
        <f>M70/M$98</f>
        <v>1.6789995400987901E-2</v>
      </c>
    </row>
    <row r="71" spans="3:16" ht="12">
      <c r="C71" s="91">
        <f>1+C62</f>
        <v>9</v>
      </c>
      <c r="D71" t="s">
        <v>634</v>
      </c>
      <c r="H71" s="16" t="s">
        <v>248</v>
      </c>
      <c r="J71" s="366">
        <f>Customer.care.line.rental.per.staff</f>
        <v>4723.7325488630213</v>
      </c>
      <c r="M71" s="366">
        <f>Customer.care.line.rental.per.staff</f>
        <v>4723.7325488630213</v>
      </c>
    </row>
    <row r="72" spans="3:16" ht="12">
      <c r="C72" s="91">
        <f>1+C71</f>
        <v>10</v>
      </c>
      <c r="D72" t="s">
        <v>635</v>
      </c>
      <c r="H72" s="16" t="s">
        <v>254</v>
      </c>
      <c r="J72" s="366">
        <f>Monthly.cost.per.staff</f>
        <v>17865.92278043324</v>
      </c>
      <c r="M72" s="366">
        <f>Monthly.cost.per.staff</f>
        <v>17865.92278043324</v>
      </c>
    </row>
    <row r="73" spans="3:16" ht="12">
      <c r="C73" s="91">
        <f>1+C72</f>
        <v>11</v>
      </c>
      <c r="D73" t="s">
        <v>636</v>
      </c>
      <c r="H73" t="s">
        <v>623</v>
      </c>
      <c r="J73" s="367">
        <f>J9/J71*J72*12*K53</f>
        <v>407807613.75502914</v>
      </c>
      <c r="M73" s="367">
        <f>M9/M71*M72*12*N53</f>
        <v>55952161.416591108</v>
      </c>
      <c r="P73" t="s">
        <v>637</v>
      </c>
    </row>
    <row r="74" spans="3:16" ht="12"/>
    <row r="75" spans="3:16" ht="12">
      <c r="C75" s="96" t="s">
        <v>264</v>
      </c>
      <c r="J75" s="374">
        <f>J87</f>
        <v>483851726.45480889</v>
      </c>
      <c r="K75" s="375">
        <f>J75/J$98</f>
        <v>2.1993267762932634E-2</v>
      </c>
      <c r="M75" s="374">
        <f>M87</f>
        <v>66385592.095782414</v>
      </c>
      <c r="N75" s="375">
        <f>M75/M$98</f>
        <v>1.9920835187781268E-2</v>
      </c>
    </row>
    <row r="76" spans="3:16" ht="12">
      <c r="C76" s="372">
        <f>1+C73</f>
        <v>12</v>
      </c>
      <c r="D76" s="96" t="s">
        <v>638</v>
      </c>
      <c r="H76" t="s">
        <v>639</v>
      </c>
      <c r="J76" s="367">
        <f>J9/Customer.care.line.rental.per.staff</f>
        <v>2163.1487164656378</v>
      </c>
      <c r="M76" s="367">
        <f>M9/Customer.care.line.rental.per.staff</f>
        <v>2163.1487164656378</v>
      </c>
    </row>
    <row r="77" spans="3:16" ht="12">
      <c r="C77" s="91">
        <f>1+C76</f>
        <v>13</v>
      </c>
      <c r="D77" s="97" t="s">
        <v>272</v>
      </c>
      <c r="H77" s="16" t="s">
        <v>223</v>
      </c>
      <c r="J77" s="379">
        <f>Admin.staff.per.customer.care.staff</f>
        <v>8.4199999999999997E-2</v>
      </c>
      <c r="M77" s="379">
        <f>Admin.staff.per.customer.care.staff</f>
        <v>8.4199999999999997E-2</v>
      </c>
    </row>
    <row r="78" spans="3:16" ht="12">
      <c r="C78" s="91">
        <f>1+C77</f>
        <v>14</v>
      </c>
      <c r="D78" s="97" t="s">
        <v>640</v>
      </c>
      <c r="H78" t="s">
        <v>639</v>
      </c>
      <c r="J78" s="367">
        <f>J76*J77</f>
        <v>182.13712192640671</v>
      </c>
      <c r="M78" s="367">
        <f>M76*M77</f>
        <v>182.13712192640671</v>
      </c>
    </row>
    <row r="79" spans="3:16" ht="12">
      <c r="C79" s="91">
        <f>1+C78</f>
        <v>15</v>
      </c>
      <c r="D79" s="97" t="s">
        <v>641</v>
      </c>
      <c r="H79" t="s">
        <v>639</v>
      </c>
      <c r="J79" s="367">
        <f>(J76+J78)*K53</f>
        <v>2062.3294052921792</v>
      </c>
      <c r="M79" s="367">
        <f>(M76+M78)*N53</f>
        <v>282.95643309986468</v>
      </c>
      <c r="P79" t="s">
        <v>637</v>
      </c>
    </row>
    <row r="80" spans="3:16" ht="12"/>
    <row r="81" spans="3:16" ht="12">
      <c r="C81" s="91">
        <f>1+C79</f>
        <v>16</v>
      </c>
      <c r="D81" s="96" t="s">
        <v>642</v>
      </c>
    </row>
    <row r="82" spans="3:16" ht="13.5">
      <c r="C82" s="91">
        <f>1+C81</f>
        <v>17</v>
      </c>
      <c r="D82" s="97" t="s">
        <v>643</v>
      </c>
      <c r="E82" s="97"/>
      <c r="H82" s="16" t="s">
        <v>266</v>
      </c>
      <c r="J82" s="366">
        <f>Floorspace.per.staff</f>
        <v>12</v>
      </c>
      <c r="M82" s="366">
        <f>Floorspace.per.staff</f>
        <v>12</v>
      </c>
    </row>
    <row r="83" spans="3:16" ht="12">
      <c r="C83" s="91">
        <f>1+C82</f>
        <v>18</v>
      </c>
      <c r="D83" s="97" t="s">
        <v>644</v>
      </c>
      <c r="E83" s="97"/>
      <c r="H83" s="16" t="s">
        <v>645</v>
      </c>
      <c r="J83" s="366">
        <f>Rent.per.sqm</f>
        <v>620</v>
      </c>
      <c r="M83" s="366">
        <f>Rent.per.sqm</f>
        <v>620</v>
      </c>
    </row>
    <row r="84" spans="3:16" ht="12">
      <c r="C84" s="91">
        <f>1+C83</f>
        <v>19</v>
      </c>
      <c r="D84" s="97" t="s">
        <v>642</v>
      </c>
      <c r="H84" t="s">
        <v>623</v>
      </c>
      <c r="J84" s="367">
        <f>J79*J83*J82*12</f>
        <v>184124769.30448574</v>
      </c>
      <c r="M84" s="367">
        <f>M79*M83*M82*12</f>
        <v>25262350.347155917</v>
      </c>
      <c r="P84" t="s">
        <v>637</v>
      </c>
    </row>
    <row r="85" spans="3:16" ht="12"/>
    <row r="86" spans="3:16" ht="12">
      <c r="C86" s="91">
        <f>1+C84</f>
        <v>20</v>
      </c>
      <c r="D86" s="96" t="s">
        <v>646</v>
      </c>
      <c r="H86" s="16" t="s">
        <v>223</v>
      </c>
      <c r="J86" s="377">
        <f>Admin.costs</f>
        <v>1.72E-2</v>
      </c>
      <c r="M86" s="377">
        <f>Admin.costs</f>
        <v>1.72E-2</v>
      </c>
    </row>
    <row r="87" spans="3:16" ht="12">
      <c r="C87" s="91">
        <f>1+C86</f>
        <v>21</v>
      </c>
      <c r="D87" s="97" t="s">
        <v>264</v>
      </c>
      <c r="H87" t="s">
        <v>623</v>
      </c>
      <c r="J87" s="367">
        <f>J84+J86*J$53</f>
        <v>483851726.45480889</v>
      </c>
      <c r="M87" s="367">
        <f>M84+M86*M$53</f>
        <v>66385592.095782414</v>
      </c>
      <c r="P87" t="s">
        <v>637</v>
      </c>
    </row>
    <row r="88" spans="3:16" ht="12"/>
    <row r="89" spans="3:16" ht="12">
      <c r="C89" s="96" t="s">
        <v>647</v>
      </c>
    </row>
    <row r="90" spans="3:16" ht="12">
      <c r="C90" s="91">
        <f>1+C87</f>
        <v>22</v>
      </c>
      <c r="D90" t="s">
        <v>647</v>
      </c>
      <c r="H90" s="16" t="s">
        <v>223</v>
      </c>
      <c r="J90" s="376">
        <f>Retail.profit</f>
        <v>0.10970000000000001</v>
      </c>
      <c r="K90" s="375">
        <f>SUM(K57,K61,K70,K75)*J90</f>
        <v>9.6286664636503327E-3</v>
      </c>
      <c r="M90" s="376">
        <f>Retail.profit</f>
        <v>0.10970000000000001</v>
      </c>
      <c r="N90" s="375">
        <f>SUM(N57,N61,N70,N75)*M90</f>
        <v>8.7213541783805592E-3</v>
      </c>
    </row>
    <row r="91" spans="3:16" ht="12"/>
    <row r="92" spans="3:16" ht="12">
      <c r="C92" s="96" t="s">
        <v>648</v>
      </c>
    </row>
    <row r="93" spans="3:16" ht="12">
      <c r="C93" s="91">
        <f>1+C90</f>
        <v>23</v>
      </c>
      <c r="D93" t="s">
        <v>649</v>
      </c>
      <c r="H93" t="s">
        <v>623</v>
      </c>
      <c r="J93" s="380">
        <f>J50-J51</f>
        <v>4574006647.3485699</v>
      </c>
      <c r="K93" s="375">
        <f>J93/J98</f>
        <v>0.20790946367319935</v>
      </c>
      <c r="M93" s="380">
        <f>M50-M51</f>
        <v>941584175.9849968</v>
      </c>
      <c r="N93" s="375">
        <f>M93/M98</f>
        <v>0.28254840535513764</v>
      </c>
    </row>
    <row r="94" spans="3:16" ht="12">
      <c r="C94" s="91">
        <f>1+C93</f>
        <v>24</v>
      </c>
      <c r="D94" t="s">
        <v>650</v>
      </c>
      <c r="H94" t="s">
        <v>623</v>
      </c>
      <c r="J94" s="374">
        <f>SUM(J57,J61,J70,J75,J65)*(1+J90)+J93</f>
        <v>6716836237.210125</v>
      </c>
      <c r="M94" s="374">
        <f>SUM(M57,M61,M70,M75,M65)*(1+M90)+M93</f>
        <v>1235585423.2795193</v>
      </c>
    </row>
    <row r="95" spans="3:16" ht="12"/>
    <row r="96" spans="3:16" ht="12"/>
    <row r="97" spans="1:16" ht="12">
      <c r="C97" s="96" t="s">
        <v>651</v>
      </c>
    </row>
    <row r="98" spans="1:16" ht="12">
      <c r="C98" s="91">
        <f>1+C94</f>
        <v>25</v>
      </c>
      <c r="D98" t="s">
        <v>652</v>
      </c>
      <c r="H98" t="s">
        <v>623</v>
      </c>
      <c r="J98" s="367">
        <f>J48+J50</f>
        <v>21999992528.181313</v>
      </c>
      <c r="M98" s="367">
        <f>M48+M50</f>
        <v>3332470324.1609559</v>
      </c>
    </row>
    <row r="99" spans="1:16" ht="12">
      <c r="C99" s="91">
        <f>1+C98</f>
        <v>26</v>
      </c>
      <c r="D99" t="s">
        <v>653</v>
      </c>
      <c r="H99" t="s">
        <v>623</v>
      </c>
      <c r="J99" s="366">
        <f>J94</f>
        <v>6716836237.210125</v>
      </c>
      <c r="M99" s="366">
        <f>M94</f>
        <v>1235585423.2795193</v>
      </c>
    </row>
    <row r="100" spans="1:16" ht="12">
      <c r="C100" s="91">
        <f>1+C99</f>
        <v>27</v>
      </c>
      <c r="D100" t="s">
        <v>654</v>
      </c>
      <c r="H100" t="s">
        <v>623</v>
      </c>
      <c r="J100" s="367">
        <f>J98-J99</f>
        <v>15283156290.971188</v>
      </c>
      <c r="M100" s="367">
        <f>M98-M99</f>
        <v>2096884900.8814366</v>
      </c>
    </row>
    <row r="101" spans="1:16" ht="12"/>
    <row r="102" spans="1:16" ht="12">
      <c r="C102" s="96" t="s">
        <v>655</v>
      </c>
      <c r="H102" s="16" t="s">
        <v>223</v>
      </c>
      <c r="J102" s="381">
        <f>J99/J98</f>
        <v>0.30531084174715356</v>
      </c>
      <c r="K102" s="79" t="s">
        <v>656</v>
      </c>
      <c r="M102" s="381">
        <f>M99/M98</f>
        <v>0.37077162077673209</v>
      </c>
      <c r="N102" s="79" t="s">
        <v>657</v>
      </c>
    </row>
    <row r="103" spans="1:16" ht="12">
      <c r="C103" s="91">
        <f>1+C99</f>
        <v>27</v>
      </c>
      <c r="D103" s="97" t="s">
        <v>658</v>
      </c>
      <c r="H103" s="16" t="s">
        <v>223</v>
      </c>
      <c r="J103" s="382">
        <f>J93/J98</f>
        <v>0.20790946367319935</v>
      </c>
      <c r="K103" s="79"/>
      <c r="M103" s="382">
        <f>M93/M98</f>
        <v>0.28254840535513764</v>
      </c>
      <c r="N103" s="79"/>
    </row>
    <row r="104" spans="1:16" ht="12">
      <c r="C104" s="91">
        <f>1+C103</f>
        <v>28</v>
      </c>
      <c r="D104" s="97" t="s">
        <v>659</v>
      </c>
      <c r="H104" s="16" t="s">
        <v>223</v>
      </c>
      <c r="J104" s="382">
        <f>J102-J103</f>
        <v>9.7401378073954215E-2</v>
      </c>
      <c r="K104" s="79" t="s">
        <v>660</v>
      </c>
      <c r="M104" s="382">
        <f>M102-M103</f>
        <v>8.8223215421594448E-2</v>
      </c>
      <c r="N104" s="79" t="s">
        <v>661</v>
      </c>
    </row>
    <row r="105" spans="1:16" ht="12"/>
    <row r="106" spans="1:16" s="569" customFormat="1" ht="12">
      <c r="A106" s="567" t="s">
        <v>366</v>
      </c>
      <c r="B106" s="567" t="s">
        <v>300</v>
      </c>
      <c r="C106" s="568"/>
      <c r="D106" s="568"/>
      <c r="E106" s="568"/>
      <c r="F106" s="568"/>
      <c r="G106" s="568"/>
      <c r="H106" s="568"/>
      <c r="I106" s="568"/>
      <c r="J106" s="568"/>
      <c r="K106" s="568"/>
      <c r="L106" s="568"/>
      <c r="M106" s="568"/>
      <c r="N106" s="568"/>
      <c r="O106" s="568"/>
      <c r="P106" s="568"/>
    </row>
  </sheetData>
  <dataValidations count="1">
    <dataValidation type="list" allowBlank="1" showInputMessage="1" showErrorMessage="1" sqref="J48" xr:uid="{A8456E6D-2487-4787-B351-6EEC867ADB71}">
      <formula1>$Q$50:$Q$53</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3DFD-E9F6-4435-BD13-C99FA11F6063}">
  <dimension ref="A1:P108"/>
  <sheetViews>
    <sheetView showGridLines="0" zoomScaleNormal="100" workbookViewId="0">
      <pane xSplit="9" ySplit="2" topLeftCell="J3" activePane="bottomRight" state="frozen"/>
      <selection activeCell="D111" sqref="D111"/>
      <selection pane="topRight" activeCell="D111" sqref="D111"/>
      <selection pane="bottomLeft" activeCell="D111" sqref="D111"/>
      <selection pane="bottomRight" sqref="A1:XFD1048576"/>
    </sheetView>
  </sheetViews>
  <sheetFormatPr baseColWidth="10" defaultRowHeight="11.45" customHeight="1"/>
  <cols>
    <col min="1" max="2" width="6.85546875" customWidth="1"/>
    <col min="3" max="3" width="4.85546875" customWidth="1"/>
    <col min="4" max="4" width="22.85546875" customWidth="1"/>
    <col min="10" max="10" width="17.140625" bestFit="1" customWidth="1"/>
    <col min="11" max="11" width="11.85546875" bestFit="1" customWidth="1"/>
    <col min="12" max="12" width="19.85546875" bestFit="1" customWidth="1"/>
    <col min="13" max="13" width="17.85546875" bestFit="1" customWidth="1"/>
    <col min="14" max="14" width="14.42578125" bestFit="1" customWidth="1"/>
  </cols>
  <sheetData>
    <row r="1" spans="1:16" ht="33.75" customHeight="1">
      <c r="A1" s="84"/>
      <c r="B1" s="84"/>
      <c r="C1" s="84" t="s">
        <v>662</v>
      </c>
      <c r="D1" s="84"/>
      <c r="E1" s="84"/>
      <c r="F1" s="84"/>
      <c r="G1" s="84"/>
      <c r="H1" s="84"/>
      <c r="I1" s="84"/>
      <c r="J1" s="84"/>
      <c r="K1" s="84"/>
      <c r="L1" s="84"/>
      <c r="M1" s="84"/>
      <c r="N1" s="84"/>
      <c r="O1" s="84"/>
      <c r="P1" s="84"/>
    </row>
    <row r="2" spans="1:16" ht="12">
      <c r="C2" s="70"/>
      <c r="D2" s="70" t="s">
        <v>212</v>
      </c>
      <c r="E2" s="40"/>
      <c r="F2" s="40"/>
      <c r="G2" s="40"/>
      <c r="H2" s="40" t="s">
        <v>213</v>
      </c>
      <c r="I2" s="40"/>
      <c r="J2" s="40"/>
      <c r="K2" s="40"/>
      <c r="L2" s="40"/>
      <c r="M2" s="40"/>
      <c r="N2" s="40"/>
      <c r="O2" s="40"/>
      <c r="P2" s="40" t="s">
        <v>215</v>
      </c>
    </row>
    <row r="3" spans="1:16" ht="12">
      <c r="A3" s="94">
        <v>1</v>
      </c>
      <c r="B3" s="94" t="s">
        <v>610</v>
      </c>
      <c r="C3" s="73"/>
      <c r="D3" s="73"/>
      <c r="E3" s="73"/>
      <c r="F3" s="73"/>
      <c r="G3" s="73"/>
      <c r="H3" s="73"/>
      <c r="I3" s="73"/>
      <c r="J3" s="73"/>
      <c r="K3" s="73"/>
      <c r="L3" s="73"/>
      <c r="M3" s="73"/>
      <c r="N3" s="73"/>
      <c r="O3" s="73"/>
      <c r="P3" s="73"/>
    </row>
    <row r="4" spans="1:16" ht="12"/>
    <row r="5" spans="1:16" ht="12">
      <c r="B5" s="94">
        <v>1.1000000000000001</v>
      </c>
      <c r="C5" s="94" t="s">
        <v>663</v>
      </c>
      <c r="D5" s="94"/>
      <c r="E5" s="94"/>
      <c r="F5" s="94"/>
      <c r="G5" s="94"/>
      <c r="H5" s="73"/>
      <c r="I5" s="73"/>
      <c r="J5" s="73"/>
      <c r="K5" s="73"/>
      <c r="L5" s="73"/>
      <c r="M5" s="73"/>
      <c r="N5" s="73"/>
      <c r="O5" s="73"/>
      <c r="P5" s="73"/>
    </row>
    <row r="6" spans="1:16" ht="12"/>
    <row r="7" spans="1:16" ht="12">
      <c r="C7" s="96" t="s">
        <v>664</v>
      </c>
    </row>
    <row r="8" spans="1:16" ht="12">
      <c r="D8" t="str">
        <f>"Número de suscripciones en "&amp;Year.selected-1</f>
        <v>Número de suscripciones en 2023</v>
      </c>
      <c r="H8" s="16" t="s">
        <v>306</v>
      </c>
      <c r="J8" s="367">
        <f>INDEX(Broadbad.suscriptions.AEP,MATCH(Year.selected-1,Years,0))</f>
        <v>10488966</v>
      </c>
    </row>
    <row r="9" spans="1:16" ht="12">
      <c r="D9" t="str">
        <f>"Número de suscripciones en "&amp;Year.selected</f>
        <v>Número de suscripciones en 2024</v>
      </c>
      <c r="H9" s="16" t="s">
        <v>306</v>
      </c>
      <c r="J9" s="367">
        <f>INDEX(Broadbad.suscriptions.AEP,MATCH(Year.selected,Years,0))</f>
        <v>10813722</v>
      </c>
    </row>
    <row r="10" spans="1:16" ht="12">
      <c r="D10" t="s">
        <v>613</v>
      </c>
      <c r="H10" s="16" t="s">
        <v>306</v>
      </c>
      <c r="J10" s="367">
        <f>J9-J8</f>
        <v>324756</v>
      </c>
    </row>
    <row r="11" spans="1:16" ht="12"/>
    <row r="12" spans="1:16" ht="12">
      <c r="D12" t="s">
        <v>222</v>
      </c>
      <c r="H12" s="16" t="s">
        <v>223</v>
      </c>
      <c r="J12" s="368">
        <f>Line.rental.churn</f>
        <v>1.3699999999999999E-2</v>
      </c>
    </row>
    <row r="13" spans="1:16" ht="12"/>
    <row r="14" spans="1:16" ht="12">
      <c r="D14" t="s">
        <v>614</v>
      </c>
      <c r="H14" s="16" t="s">
        <v>306</v>
      </c>
      <c r="J14" s="367">
        <f>J8*J12+J10</f>
        <v>468454.83419999998</v>
      </c>
    </row>
    <row r="15" spans="1:16" ht="12"/>
    <row r="16" spans="1:16" ht="12">
      <c r="C16" s="96" t="s">
        <v>665</v>
      </c>
    </row>
    <row r="17" spans="3:11" ht="12">
      <c r="D17" t="str">
        <f>"Número de líneas en "&amp;Year.selected-1</f>
        <v>Número de líneas en 2023</v>
      </c>
      <c r="H17" s="16" t="s">
        <v>306</v>
      </c>
      <c r="J17" s="367">
        <f>INDEX(AEP.broadband.subs.residential,MATCH(Year.selected-1,Years,0))</f>
        <v>8967930.8004094977</v>
      </c>
    </row>
    <row r="18" spans="3:11" ht="12">
      <c r="D18" t="str">
        <f>"Número de líneas en "&amp;Year.selected</f>
        <v>Número de líneas en 2024</v>
      </c>
      <c r="H18" s="16" t="s">
        <v>306</v>
      </c>
      <c r="J18" s="367">
        <f>INDEX(AEP.broadband.subs.residential,MATCH(Year.selected,Years,0))</f>
        <v>9259379.6806458961</v>
      </c>
    </row>
    <row r="19" spans="3:11" ht="12">
      <c r="D19" t="s">
        <v>613</v>
      </c>
      <c r="H19" s="16" t="s">
        <v>306</v>
      </c>
      <c r="J19" s="383">
        <f>J18-J17</f>
        <v>291448.88023639843</v>
      </c>
    </row>
    <row r="20" spans="3:11" ht="12"/>
    <row r="21" spans="3:11" ht="12">
      <c r="D21" t="s">
        <v>222</v>
      </c>
      <c r="H21" s="16" t="s">
        <v>223</v>
      </c>
      <c r="J21" s="368">
        <f>Line.rental.churn</f>
        <v>1.3699999999999999E-2</v>
      </c>
    </row>
    <row r="22" spans="3:11" ht="12"/>
    <row r="23" spans="3:11" ht="12">
      <c r="D23" t="s">
        <v>614</v>
      </c>
      <c r="H23" s="16" t="s">
        <v>306</v>
      </c>
      <c r="J23" s="369">
        <f>J17*J21+J19</f>
        <v>414309.53220200853</v>
      </c>
      <c r="K23" s="79" t="s">
        <v>666</v>
      </c>
    </row>
    <row r="24" spans="3:11" ht="12"/>
    <row r="25" spans="3:11" ht="12">
      <c r="C25" s="96" t="s">
        <v>667</v>
      </c>
    </row>
    <row r="26" spans="3:11" ht="12">
      <c r="D26" t="str">
        <f>"Número de líneas en "&amp;Year.selected-1</f>
        <v>Número de líneas en 2023</v>
      </c>
      <c r="H26" s="16" t="s">
        <v>306</v>
      </c>
      <c r="J26" s="367">
        <f>INDEX(AEP.broadband.subs.non.residential,MATCH(Year.selected-1,Years,0))</f>
        <v>1521035.1995905007</v>
      </c>
    </row>
    <row r="27" spans="3:11" ht="12">
      <c r="D27" t="str">
        <f>"Número de líneas en "&amp;Year.selected</f>
        <v>Número de líneas en 2024</v>
      </c>
      <c r="H27" s="16" t="s">
        <v>306</v>
      </c>
      <c r="J27" s="367">
        <f>INDEX(AEP.broadband.subs.non.residential,MATCH(Year.selected,Years,0))</f>
        <v>1554342.3193541057</v>
      </c>
    </row>
    <row r="28" spans="3:11" ht="12">
      <c r="D28" t="s">
        <v>613</v>
      </c>
      <c r="H28" s="16" t="s">
        <v>306</v>
      </c>
      <c r="J28" s="369">
        <f>J27-J26</f>
        <v>33307.119763605064</v>
      </c>
    </row>
    <row r="29" spans="3:11" ht="12"/>
    <row r="30" spans="3:11" ht="12">
      <c r="D30" t="s">
        <v>222</v>
      </c>
      <c r="H30" s="16" t="s">
        <v>223</v>
      </c>
      <c r="J30" s="368">
        <f>Line.rental.churn</f>
        <v>1.3699999999999999E-2</v>
      </c>
    </row>
    <row r="31" spans="3:11" ht="12"/>
    <row r="32" spans="3:11" ht="12">
      <c r="D32" t="s">
        <v>614</v>
      </c>
      <c r="H32" s="16" t="s">
        <v>306</v>
      </c>
      <c r="J32" s="369">
        <f>J26*J30+J28</f>
        <v>54145.301997994917</v>
      </c>
      <c r="K32" s="79" t="s">
        <v>668</v>
      </c>
    </row>
    <row r="33" spans="2:16" ht="12"/>
    <row r="34" spans="2:16" ht="12">
      <c r="C34" s="96" t="s">
        <v>669</v>
      </c>
    </row>
    <row r="35" spans="2:16" ht="12">
      <c r="D35" t="s">
        <v>326</v>
      </c>
      <c r="H35" s="16" t="s">
        <v>306</v>
      </c>
      <c r="J35" s="369">
        <f>AVERAGE(J17:J18)</f>
        <v>9113655.2405276969</v>
      </c>
    </row>
    <row r="36" spans="2:16" ht="12">
      <c r="D36" t="s">
        <v>618</v>
      </c>
      <c r="H36" s="16" t="s">
        <v>306</v>
      </c>
      <c r="J36" s="369">
        <f>AVERAGE(J26:J27)</f>
        <v>1537688.7594723031</v>
      </c>
    </row>
    <row r="37" spans="2:16" ht="12"/>
    <row r="38" spans="2:16" ht="12">
      <c r="B38" s="94">
        <v>1.2</v>
      </c>
      <c r="C38" s="94" t="s">
        <v>621</v>
      </c>
      <c r="D38" s="94"/>
      <c r="E38" s="94"/>
      <c r="F38" s="94"/>
      <c r="G38" s="94"/>
      <c r="H38" s="73"/>
      <c r="I38" s="73"/>
      <c r="J38" s="73"/>
      <c r="K38" s="73"/>
      <c r="L38" s="73"/>
      <c r="M38" s="73"/>
      <c r="N38" s="73"/>
      <c r="O38" s="73"/>
      <c r="P38" s="73"/>
    </row>
    <row r="39" spans="2:16" ht="12">
      <c r="C39" s="96"/>
    </row>
    <row r="40" spans="2:16" ht="12">
      <c r="C40" s="95">
        <v>1</v>
      </c>
      <c r="D40" t="s">
        <v>622</v>
      </c>
      <c r="H40" s="16" t="s">
        <v>623</v>
      </c>
      <c r="J40" s="112">
        <v>0</v>
      </c>
      <c r="K40" s="98"/>
      <c r="P40" t="s">
        <v>670</v>
      </c>
    </row>
    <row r="41" spans="2:16" ht="12"/>
    <row r="42" spans="2:16" ht="12">
      <c r="C42" s="372">
        <f>1+C40</f>
        <v>2</v>
      </c>
      <c r="D42" t="s">
        <v>624</v>
      </c>
      <c r="H42" s="16" t="s">
        <v>623</v>
      </c>
      <c r="J42" s="384">
        <f>SUMPRODUCT(vector.users.broadband,vector.periodicity,vector.implicit.prices.broadband.before.discount)</f>
        <v>25019951481.623989</v>
      </c>
      <c r="K42" s="98"/>
      <c r="L42" s="385"/>
      <c r="N42" s="106"/>
    </row>
    <row r="43" spans="2:16" ht="12">
      <c r="C43" s="91">
        <f>1+C42</f>
        <v>3</v>
      </c>
      <c r="D43" t="s">
        <v>625</v>
      </c>
      <c r="H43" s="16" t="s">
        <v>623</v>
      </c>
      <c r="J43" s="367">
        <f>SUMPRODUCT(vector.users.broadband,vector.periodicity,vector.implicit.prices.broadband.after.discount)</f>
        <v>23447990709.309052</v>
      </c>
      <c r="L43" s="386"/>
    </row>
    <row r="44" spans="2:16" ht="12"/>
    <row r="45" spans="2:16" ht="12">
      <c r="C45" s="91">
        <v>5</v>
      </c>
      <c r="D45" s="96" t="s">
        <v>64</v>
      </c>
      <c r="H45" s="16" t="s">
        <v>623</v>
      </c>
      <c r="J45" s="374">
        <f>J40+J43</f>
        <v>23447990709.309052</v>
      </c>
      <c r="K45" s="387"/>
      <c r="L45" s="388"/>
      <c r="P45" t="s">
        <v>671</v>
      </c>
    </row>
    <row r="46" spans="2:16" ht="12"/>
    <row r="47" spans="2:16" ht="12">
      <c r="B47" s="94">
        <v>1.3</v>
      </c>
      <c r="C47" s="94" t="s">
        <v>626</v>
      </c>
      <c r="D47" s="94"/>
      <c r="E47" s="94"/>
      <c r="F47" s="94"/>
      <c r="G47" s="94"/>
      <c r="H47" s="73"/>
      <c r="I47" s="73"/>
      <c r="J47" s="73"/>
      <c r="K47" s="73"/>
      <c r="L47" s="73"/>
      <c r="M47" s="73"/>
      <c r="N47" s="73"/>
      <c r="O47" s="73"/>
      <c r="P47" s="73"/>
    </row>
    <row r="48" spans="2:16" ht="12"/>
    <row r="49" spans="3:14" ht="12">
      <c r="C49" s="96" t="s">
        <v>627</v>
      </c>
      <c r="J49" s="374">
        <f>J51</f>
        <v>938492549.908126</v>
      </c>
      <c r="K49" s="375">
        <f>J49/J$90</f>
        <v>3.750976697926077E-2</v>
      </c>
    </row>
    <row r="50" spans="3:14" ht="12">
      <c r="C50" s="372">
        <f>1+C45</f>
        <v>6</v>
      </c>
      <c r="D50" t="str">
        <f>Control!D14</f>
        <v>Costos de facturación (incluyendo el sistema de facturación a clientes minoristas) sobre el total de ingresos</v>
      </c>
      <c r="H50" s="16" t="s">
        <v>223</v>
      </c>
      <c r="J50" s="377">
        <f>Billing.cost</f>
        <v>4.0024433715573612E-2</v>
      </c>
    </row>
    <row r="51" spans="3:14" ht="12">
      <c r="C51" s="91">
        <f>1+C50</f>
        <v>7</v>
      </c>
      <c r="D51" t="s">
        <v>628</v>
      </c>
      <c r="H51" t="s">
        <v>623</v>
      </c>
      <c r="J51" s="367">
        <f>J50*J$45</f>
        <v>938492549.908126</v>
      </c>
    </row>
    <row r="52" spans="3:14" ht="12"/>
    <row r="53" spans="3:14" ht="12">
      <c r="C53" s="96" t="s">
        <v>629</v>
      </c>
      <c r="J53" s="374">
        <f>J55</f>
        <v>460018090.69312775</v>
      </c>
      <c r="K53" s="375">
        <f>J53/J$90</f>
        <v>1.8386050469801671E-2</v>
      </c>
    </row>
    <row r="54" spans="3:14" ht="12">
      <c r="C54" s="91">
        <f>1+C51</f>
        <v>8</v>
      </c>
      <c r="D54" t="s">
        <v>630</v>
      </c>
      <c r="H54" s="16" t="s">
        <v>223</v>
      </c>
      <c r="J54" s="376">
        <f>Bad.debt.cost</f>
        <v>1.9618657154725699E-2</v>
      </c>
    </row>
    <row r="55" spans="3:14" ht="12">
      <c r="C55" s="91">
        <f>1+C54</f>
        <v>9</v>
      </c>
      <c r="D55" t="s">
        <v>628</v>
      </c>
      <c r="H55" t="s">
        <v>623</v>
      </c>
      <c r="J55" s="367">
        <f>J54*J$45</f>
        <v>460018090.69312775</v>
      </c>
    </row>
    <row r="56" spans="3:14" ht="12"/>
    <row r="57" spans="3:14" ht="12">
      <c r="C57" s="96" t="s">
        <v>234</v>
      </c>
      <c r="J57" s="374">
        <f>J60</f>
        <v>1542651866.9507654</v>
      </c>
      <c r="K57" s="375">
        <f>J57/J$90</f>
        <v>6.165686884260238E-2</v>
      </c>
    </row>
    <row r="58" spans="3:14" ht="12">
      <c r="C58" s="91">
        <f>1+C55</f>
        <v>10</v>
      </c>
      <c r="D58" t="s">
        <v>631</v>
      </c>
      <c r="H58" s="16" t="s">
        <v>237</v>
      </c>
      <c r="J58" s="378">
        <f>Marketing.and.sales.per.gross.add.broadband</f>
        <v>1800</v>
      </c>
    </row>
    <row r="59" spans="3:14" ht="12">
      <c r="C59" s="91">
        <f>1+C58</f>
        <v>11</v>
      </c>
      <c r="D59" t="s">
        <v>632</v>
      </c>
      <c r="H59" s="16" t="s">
        <v>223</v>
      </c>
      <c r="J59" s="376">
        <f>Marketing.and.sales.minimum.proportion.broadband</f>
        <v>6.5790364985871458E-2</v>
      </c>
      <c r="L59" s="109"/>
    </row>
    <row r="60" spans="3:14" ht="12">
      <c r="C60" s="91">
        <f>1+C59</f>
        <v>12</v>
      </c>
      <c r="D60" t="s">
        <v>633</v>
      </c>
      <c r="H60" s="16" t="s">
        <v>623</v>
      </c>
      <c r="J60" s="367">
        <f>MAX(J58*J14,J$45*J59)</f>
        <v>1542651866.9507654</v>
      </c>
      <c r="L60" s="109"/>
    </row>
    <row r="61" spans="3:14" ht="12"/>
    <row r="62" spans="3:14" ht="12">
      <c r="C62" s="96" t="s">
        <v>246</v>
      </c>
      <c r="J62" s="374">
        <f>J65</f>
        <v>2453955047.9110894</v>
      </c>
      <c r="K62" s="375">
        <f>J62/J$90</f>
        <v>9.8079928320940479E-2</v>
      </c>
      <c r="M62" s="109"/>
    </row>
    <row r="63" spans="3:14" ht="12">
      <c r="C63" s="91">
        <f>1+C59</f>
        <v>12</v>
      </c>
      <c r="D63" t="s">
        <v>634</v>
      </c>
      <c r="H63" s="16" t="s">
        <v>248</v>
      </c>
      <c r="J63" s="366">
        <f>Customer.care.broadbandsubscriber.per.staff</f>
        <v>944.74650977260421</v>
      </c>
      <c r="M63" s="389"/>
      <c r="N63" s="388"/>
    </row>
    <row r="64" spans="3:14" ht="12">
      <c r="C64" s="91">
        <f>1+C63</f>
        <v>13</v>
      </c>
      <c r="D64" t="s">
        <v>635</v>
      </c>
      <c r="H64" s="16" t="s">
        <v>254</v>
      </c>
      <c r="J64" s="366">
        <f>Monthly.cost.per.staff</f>
        <v>17865.92278043324</v>
      </c>
      <c r="L64" s="385"/>
    </row>
    <row r="65" spans="3:14" ht="12">
      <c r="C65" s="91">
        <f>1+C64</f>
        <v>14</v>
      </c>
      <c r="D65" t="s">
        <v>636</v>
      </c>
      <c r="H65" t="s">
        <v>623</v>
      </c>
      <c r="J65" s="367">
        <f>J9/J63*J64*12</f>
        <v>2453955047.9110894</v>
      </c>
    </row>
    <row r="66" spans="3:14" ht="12"/>
    <row r="67" spans="3:14" ht="12">
      <c r="C67" s="96" t="s">
        <v>264</v>
      </c>
      <c r="J67" s="374">
        <f>J79</f>
        <v>1511263928.0757864</v>
      </c>
      <c r="K67" s="375">
        <f>J67/J$90</f>
        <v>6.0402352466020597E-2</v>
      </c>
    </row>
    <row r="68" spans="3:14" ht="12">
      <c r="C68" s="372">
        <f>1+C65</f>
        <v>15</v>
      </c>
      <c r="D68" s="96" t="s">
        <v>638</v>
      </c>
      <c r="H68" t="s">
        <v>639</v>
      </c>
      <c r="J68" s="367">
        <f>J9/Customer.care.broadbandsubscriber.per.staff</f>
        <v>11446.162423614362</v>
      </c>
    </row>
    <row r="69" spans="3:14" ht="12">
      <c r="C69" s="91">
        <f>1+C68</f>
        <v>16</v>
      </c>
      <c r="D69" s="97" t="s">
        <v>272</v>
      </c>
      <c r="H69" s="16" t="s">
        <v>223</v>
      </c>
      <c r="J69" s="377">
        <f>Admin.staff.per.customer.care.staff</f>
        <v>8.4199999999999997E-2</v>
      </c>
    </row>
    <row r="70" spans="3:14" ht="12">
      <c r="C70" s="91">
        <f>1+C69</f>
        <v>17</v>
      </c>
      <c r="D70" s="97" t="s">
        <v>640</v>
      </c>
      <c r="H70" t="s">
        <v>639</v>
      </c>
      <c r="J70" s="367">
        <f>J68*J69</f>
        <v>963.76687606832922</v>
      </c>
      <c r="N70" s="122"/>
    </row>
    <row r="71" spans="3:14" ht="12">
      <c r="C71" s="91">
        <f>1+C70</f>
        <v>18</v>
      </c>
      <c r="D71" s="97" t="s">
        <v>641</v>
      </c>
      <c r="H71" t="s">
        <v>639</v>
      </c>
      <c r="J71" s="367">
        <f>J68+J70</f>
        <v>12409.929299682692</v>
      </c>
      <c r="M71" s="390"/>
    </row>
    <row r="72" spans="3:14" ht="12"/>
    <row r="73" spans="3:14" ht="12">
      <c r="C73" s="91">
        <f>1+C71</f>
        <v>19</v>
      </c>
      <c r="D73" s="96" t="s">
        <v>642</v>
      </c>
    </row>
    <row r="74" spans="3:14" ht="13.5">
      <c r="C74" s="91">
        <f>1+C73</f>
        <v>20</v>
      </c>
      <c r="D74" s="97" t="s">
        <v>643</v>
      </c>
      <c r="E74" s="97"/>
      <c r="H74" s="16" t="s">
        <v>266</v>
      </c>
      <c r="J74" s="366">
        <f>Floorspace.per.staff</f>
        <v>12</v>
      </c>
    </row>
    <row r="75" spans="3:14" ht="13.5">
      <c r="C75" s="91">
        <f>1+C74</f>
        <v>21</v>
      </c>
      <c r="D75" s="97" t="s">
        <v>644</v>
      </c>
      <c r="E75" s="97"/>
      <c r="H75" s="16" t="s">
        <v>270</v>
      </c>
      <c r="J75" s="366">
        <f>Rent.per.sqm</f>
        <v>620</v>
      </c>
    </row>
    <row r="76" spans="3:14" ht="12">
      <c r="C76" s="91">
        <f>1+C75</f>
        <v>22</v>
      </c>
      <c r="D76" s="97" t="s">
        <v>642</v>
      </c>
      <c r="H76" t="s">
        <v>623</v>
      </c>
      <c r="J76" s="367">
        <f>J71*J75*J74*12</f>
        <v>1107958487.8756707</v>
      </c>
    </row>
    <row r="77" spans="3:14" ht="12"/>
    <row r="78" spans="3:14" ht="12">
      <c r="C78" s="91">
        <f>1+C76</f>
        <v>23</v>
      </c>
      <c r="D78" s="96" t="s">
        <v>646</v>
      </c>
      <c r="H78" s="16" t="s">
        <v>223</v>
      </c>
      <c r="J78" s="376">
        <f>Admin.costs</f>
        <v>1.72E-2</v>
      </c>
    </row>
    <row r="79" spans="3:14" ht="12">
      <c r="C79" s="91">
        <f>1+C78</f>
        <v>24</v>
      </c>
      <c r="D79" s="97" t="s">
        <v>264</v>
      </c>
      <c r="H79" t="s">
        <v>623</v>
      </c>
      <c r="J79" s="367">
        <f>J76+J78*J$45</f>
        <v>1511263928.0757864</v>
      </c>
    </row>
    <row r="80" spans="3:14" ht="12"/>
    <row r="81" spans="2:16" ht="12">
      <c r="C81" s="96" t="s">
        <v>647</v>
      </c>
    </row>
    <row r="82" spans="2:16" ht="12">
      <c r="C82" s="91">
        <f>1+C79</f>
        <v>25</v>
      </c>
      <c r="D82" t="s">
        <v>647</v>
      </c>
      <c r="H82" s="16" t="s">
        <v>223</v>
      </c>
      <c r="J82" s="376">
        <f>Retail.profit</f>
        <v>0.10970000000000001</v>
      </c>
      <c r="K82" s="375">
        <f>SUM(K49,K53,K57,K62,K67)*J82</f>
        <v>3.0281035888525262E-2</v>
      </c>
    </row>
    <row r="83" spans="2:16" ht="12"/>
    <row r="84" spans="2:16" ht="12">
      <c r="C84" s="96" t="s">
        <v>648</v>
      </c>
    </row>
    <row r="85" spans="2:16" ht="12">
      <c r="C85" s="91">
        <f>1+C82</f>
        <v>26</v>
      </c>
      <c r="D85" t="s">
        <v>649</v>
      </c>
      <c r="H85" t="s">
        <v>623</v>
      </c>
      <c r="J85" s="380">
        <f>J42-J43</f>
        <v>1571960772.3149376</v>
      </c>
      <c r="K85" s="375">
        <f>J85/J90</f>
        <v>6.2828290193507011E-2</v>
      </c>
    </row>
    <row r="86" spans="2:16" ht="12">
      <c r="C86" s="91">
        <f>1+C85</f>
        <v>27</v>
      </c>
      <c r="D86" t="s">
        <v>650</v>
      </c>
      <c r="H86" t="s">
        <v>623</v>
      </c>
      <c r="J86" s="374">
        <f>SUM(J49,J53,J57,J62,J67)*(1+J82)+J85</f>
        <v>9235972304.5980492</v>
      </c>
      <c r="M86" s="301"/>
      <c r="N86" s="106"/>
      <c r="O86" s="391"/>
    </row>
    <row r="87" spans="2:16" ht="12">
      <c r="N87" s="106"/>
      <c r="O87" s="98"/>
    </row>
    <row r="88" spans="2:16" ht="12">
      <c r="N88" s="98"/>
      <c r="O88" s="98"/>
    </row>
    <row r="89" spans="2:16" ht="12">
      <c r="C89" s="96" t="s">
        <v>651</v>
      </c>
    </row>
    <row r="90" spans="2:16" ht="12">
      <c r="C90" s="91">
        <f>1+C86</f>
        <v>28</v>
      </c>
      <c r="D90" t="s">
        <v>652</v>
      </c>
      <c r="H90" t="s">
        <v>623</v>
      </c>
      <c r="J90" s="367">
        <f>J40+J42</f>
        <v>25019951481.623989</v>
      </c>
    </row>
    <row r="91" spans="2:16" ht="12">
      <c r="C91" s="91">
        <f>1+C90</f>
        <v>29</v>
      </c>
      <c r="D91" t="s">
        <v>653</v>
      </c>
      <c r="H91" t="s">
        <v>623</v>
      </c>
      <c r="J91" s="366">
        <f>J86</f>
        <v>9235972304.5980492</v>
      </c>
    </row>
    <row r="92" spans="2:16" ht="12">
      <c r="C92" s="91">
        <f>1+C91</f>
        <v>30</v>
      </c>
      <c r="D92" t="s">
        <v>654</v>
      </c>
      <c r="H92" t="s">
        <v>623</v>
      </c>
      <c r="J92" s="367">
        <f>J90-J91</f>
        <v>15783979177.02594</v>
      </c>
    </row>
    <row r="93" spans="2:16" ht="12"/>
    <row r="94" spans="2:16" ht="12">
      <c r="B94" s="94">
        <v>1.4</v>
      </c>
      <c r="C94" s="94" t="s">
        <v>448</v>
      </c>
      <c r="D94" s="94"/>
      <c r="E94" s="94"/>
      <c r="F94" s="94"/>
      <c r="G94" s="94"/>
      <c r="H94" s="73"/>
      <c r="I94" s="73"/>
      <c r="J94" s="73"/>
      <c r="K94" s="73"/>
      <c r="L94" s="73"/>
      <c r="M94" s="73"/>
      <c r="N94" s="73"/>
      <c r="O94" s="73"/>
      <c r="P94" s="73"/>
    </row>
    <row r="95" spans="2:16" ht="12"/>
    <row r="96" spans="2:16" ht="12">
      <c r="C96" s="96" t="str">
        <f>C94</f>
        <v>Estimación de costos evitados equipos terminales</v>
      </c>
    </row>
    <row r="97" spans="1:16" ht="12">
      <c r="C97" s="91">
        <f>1+C92</f>
        <v>31</v>
      </c>
      <c r="D97" s="97" t="s">
        <v>672</v>
      </c>
      <c r="H97" t="s">
        <v>623</v>
      </c>
      <c r="J97" s="366">
        <f>'Cálculos auxiliares'!I226</f>
        <v>43973470.021301366</v>
      </c>
      <c r="K97" s="375">
        <f>J97/($J$42*'Cálculos auxiliares'!F226)</f>
        <v>1.3491979529700075E-2</v>
      </c>
    </row>
    <row r="98" spans="1:16" ht="12">
      <c r="C98" s="372">
        <f>1+C97</f>
        <v>32</v>
      </c>
      <c r="D98" s="97" t="s">
        <v>673</v>
      </c>
      <c r="H98" t="s">
        <v>623</v>
      </c>
      <c r="J98" s="366">
        <f>'Cálculos auxiliares'!I227</f>
        <v>23232447.44223465</v>
      </c>
      <c r="K98" s="375">
        <f>J98/($J$42*'Cálculos auxiliares'!F227)</f>
        <v>2.7000608569563114E-2</v>
      </c>
    </row>
    <row r="99" spans="1:16" ht="12">
      <c r="C99" s="372">
        <f>1+C98</f>
        <v>33</v>
      </c>
      <c r="D99" s="97" t="s">
        <v>674</v>
      </c>
      <c r="H99" t="s">
        <v>623</v>
      </c>
      <c r="J99" s="366">
        <f>'Cálculos auxiliares'!I228</f>
        <v>786658641.14403534</v>
      </c>
      <c r="K99" s="375">
        <f>J99/($J$42*'Cálculos auxiliares'!F228)</f>
        <v>3.7638666180742138E-2</v>
      </c>
    </row>
    <row r="100" spans="1:16" ht="12"/>
    <row r="101" spans="1:16" ht="12"/>
    <row r="102" spans="1:16" ht="12">
      <c r="B102" s="94">
        <v>1.4</v>
      </c>
      <c r="C102" s="94" t="s">
        <v>626</v>
      </c>
      <c r="D102" s="94"/>
      <c r="E102" s="94"/>
      <c r="F102" s="94"/>
      <c r="G102" s="94"/>
      <c r="H102" s="73"/>
      <c r="I102" s="73"/>
      <c r="J102" s="73"/>
      <c r="K102" s="73"/>
      <c r="L102" s="73"/>
      <c r="M102" s="73"/>
      <c r="N102" s="73"/>
      <c r="O102" s="73"/>
      <c r="P102" s="73"/>
    </row>
    <row r="103" spans="1:16" ht="12"/>
    <row r="104" spans="1:16" ht="12">
      <c r="C104" s="96" t="s">
        <v>655</v>
      </c>
      <c r="H104" t="s">
        <v>223</v>
      </c>
      <c r="J104" s="381">
        <f>J91/J90</f>
        <v>0.36914429316065817</v>
      </c>
      <c r="K104" s="79" t="s">
        <v>675</v>
      </c>
      <c r="N104" s="301"/>
    </row>
    <row r="105" spans="1:16" ht="12">
      <c r="C105" s="91">
        <f>1+C99</f>
        <v>34</v>
      </c>
      <c r="D105" s="97" t="s">
        <v>658</v>
      </c>
      <c r="H105" t="s">
        <v>223</v>
      </c>
      <c r="J105" s="392">
        <f>J85/J90</f>
        <v>6.2828290193507011E-2</v>
      </c>
    </row>
    <row r="106" spans="1:16" ht="12">
      <c r="C106" s="91">
        <f>1+C105</f>
        <v>35</v>
      </c>
      <c r="D106" s="97" t="s">
        <v>659</v>
      </c>
      <c r="H106" t="s">
        <v>223</v>
      </c>
      <c r="J106" s="392">
        <f>J104-J105</f>
        <v>0.30631600296715117</v>
      </c>
      <c r="K106" s="79" t="s">
        <v>676</v>
      </c>
    </row>
    <row r="107" spans="1:16" ht="12"/>
    <row r="108" spans="1:16" ht="12">
      <c r="A108" s="94" t="s">
        <v>366</v>
      </c>
      <c r="B108" s="94" t="s">
        <v>300</v>
      </c>
      <c r="C108" s="73"/>
      <c r="D108" s="73"/>
      <c r="E108" s="73"/>
      <c r="F108" s="73"/>
      <c r="G108" s="73"/>
      <c r="H108" s="73"/>
      <c r="I108" s="73"/>
      <c r="J108" s="73"/>
      <c r="K108" s="73"/>
      <c r="L108" s="73"/>
      <c r="M108" s="73"/>
      <c r="N108" s="73"/>
      <c r="O108" s="73"/>
      <c r="P108" s="73"/>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15159-52E4-437D-A9E1-14D10EBA0213}">
  <sheetPr>
    <tabColor rgb="FF92D050"/>
  </sheetPr>
  <dimension ref="A1:S151"/>
  <sheetViews>
    <sheetView showGridLines="0" tabSelected="1" zoomScaleNormal="100" workbookViewId="0">
      <pane ySplit="1" topLeftCell="A2" activePane="bottomLeft" state="frozen"/>
      <selection activeCell="D111" sqref="D111"/>
      <selection pane="bottomLeft" sqref="A1:XFD1048576"/>
    </sheetView>
  </sheetViews>
  <sheetFormatPr baseColWidth="10" defaultColWidth="11.42578125" defaultRowHeight="11.45" customHeight="1"/>
  <cols>
    <col min="1" max="1" width="9.140625" customWidth="1"/>
    <col min="2" max="3" width="17.85546875" customWidth="1"/>
    <col min="4" max="4" width="4.42578125" customWidth="1"/>
    <col min="5" max="5" width="63.7109375" customWidth="1"/>
    <col min="6" max="6" width="28.7109375" customWidth="1"/>
    <col min="7" max="7" width="22.85546875" customWidth="1"/>
    <col min="8" max="9" width="16.42578125" customWidth="1"/>
    <col min="10" max="11" width="11.42578125" customWidth="1"/>
    <col min="12" max="12" width="19.28515625" customWidth="1"/>
    <col min="13" max="13" width="19.42578125" bestFit="1" customWidth="1"/>
    <col min="14" max="14" width="21.42578125" bestFit="1" customWidth="1"/>
    <col min="15" max="15" width="12" bestFit="1" customWidth="1"/>
    <col min="16" max="16" width="17" customWidth="1"/>
    <col min="17" max="17" width="14" bestFit="1" customWidth="1"/>
    <col min="18" max="18" width="20.85546875" bestFit="1" customWidth="1"/>
    <col min="19" max="19" width="21.42578125" bestFit="1" customWidth="1"/>
    <col min="24" max="24" width="11.42578125" customWidth="1"/>
  </cols>
  <sheetData>
    <row r="1" spans="1:19" ht="33.75" customHeight="1">
      <c r="A1" s="84"/>
      <c r="B1" s="84"/>
      <c r="C1" s="84" t="s">
        <v>1079</v>
      </c>
      <c r="D1" s="84"/>
      <c r="E1" s="84"/>
      <c r="F1" s="84"/>
      <c r="G1" s="84"/>
      <c r="H1" s="84"/>
      <c r="I1" s="84"/>
      <c r="J1" s="84"/>
      <c r="K1" s="84"/>
      <c r="L1" s="84"/>
      <c r="M1" s="84"/>
      <c r="N1" s="84"/>
      <c r="O1" s="84"/>
      <c r="P1" s="84"/>
      <c r="Q1" s="84"/>
      <c r="R1" s="84"/>
      <c r="S1" s="84"/>
    </row>
    <row r="2" spans="1:19" ht="12">
      <c r="A2" s="94">
        <v>1</v>
      </c>
      <c r="B2" s="94" t="s">
        <v>677</v>
      </c>
      <c r="C2" s="73"/>
      <c r="D2" s="73"/>
      <c r="E2" s="73"/>
      <c r="F2" s="73"/>
      <c r="G2" s="73"/>
      <c r="H2" s="73"/>
      <c r="I2" s="73"/>
      <c r="J2" s="73"/>
      <c r="K2" s="73"/>
      <c r="L2" s="73"/>
      <c r="M2" s="73"/>
      <c r="N2" s="73"/>
      <c r="O2" s="73"/>
      <c r="P2" s="73"/>
      <c r="Q2" s="73"/>
      <c r="R2" s="73"/>
      <c r="S2" s="73"/>
    </row>
    <row r="3" spans="1:19" ht="12">
      <c r="B3" s="518" t="s">
        <v>678</v>
      </c>
      <c r="C3" s="518"/>
    </row>
    <row r="4" spans="1:19" ht="24">
      <c r="B4" s="393" t="s">
        <v>679</v>
      </c>
      <c r="C4" s="394" t="s">
        <v>680</v>
      </c>
    </row>
    <row r="5" spans="1:19" ht="12">
      <c r="B5" s="508">
        <v>0.29299891663949001</v>
      </c>
      <c r="C5" s="381">
        <f ca="1">INDIRECT(D5)</f>
        <v>0.30531084174715356</v>
      </c>
      <c r="D5" s="79" t="s">
        <v>656</v>
      </c>
      <c r="F5" s="395"/>
      <c r="G5" s="395"/>
      <c r="H5" s="395"/>
      <c r="I5" s="395"/>
    </row>
    <row r="6" spans="1:19" ht="12">
      <c r="F6" s="395"/>
      <c r="G6" s="395"/>
      <c r="H6" s="395"/>
      <c r="I6" s="395"/>
    </row>
    <row r="7" spans="1:19" ht="12">
      <c r="B7" s="508">
        <v>0.36920313850004716</v>
      </c>
      <c r="C7" s="381">
        <f ca="1">INDIRECT(D7)</f>
        <v>0.37077162077673209</v>
      </c>
      <c r="D7" s="79" t="s">
        <v>657</v>
      </c>
      <c r="F7" s="79"/>
    </row>
    <row r="8" spans="1:19" ht="12"/>
    <row r="9" spans="1:19" ht="12">
      <c r="E9" s="96" t="s">
        <v>681</v>
      </c>
      <c r="L9" s="518" t="s">
        <v>678</v>
      </c>
      <c r="M9" s="518"/>
    </row>
    <row r="10" spans="1:19" ht="12">
      <c r="F10" s="95">
        <v>4</v>
      </c>
      <c r="G10" s="95">
        <v>7</v>
      </c>
      <c r="L10" s="393" t="s">
        <v>679</v>
      </c>
      <c r="M10" s="394" t="s">
        <v>680</v>
      </c>
    </row>
    <row r="11" spans="1:19" ht="24">
      <c r="E11" s="40" t="s">
        <v>317</v>
      </c>
      <c r="F11" s="40" t="s">
        <v>213</v>
      </c>
      <c r="G11" s="40" t="str">
        <f>"Precio minorista "&amp;Year.selected
&amp;" Sin impuestos"</f>
        <v>Precio minorista 2024 Sin impuestos</v>
      </c>
      <c r="H11" s="40"/>
      <c r="I11" s="394" t="s">
        <v>608</v>
      </c>
      <c r="J11" s="394" t="s">
        <v>609</v>
      </c>
      <c r="K11" s="40"/>
      <c r="L11" s="40"/>
      <c r="M11" s="40" t="s">
        <v>682</v>
      </c>
      <c r="N11" s="40" t="s">
        <v>215</v>
      </c>
      <c r="O11" s="40"/>
      <c r="P11" s="40"/>
      <c r="Q11" s="40"/>
    </row>
    <row r="12" spans="1:19" ht="12">
      <c r="D12" s="95">
        <v>1</v>
      </c>
      <c r="E12" s="96" t="s">
        <v>165</v>
      </c>
      <c r="F12" s="337" t="s">
        <v>683</v>
      </c>
      <c r="G12" s="396">
        <f>VLOOKUP($E12,'Planes y paquetes'!$C$195:$J$196,G$10,FALSE)</f>
        <v>156.55000000000001</v>
      </c>
      <c r="I12" s="397">
        <f>INDEX(vector.implicit.prices.line.rental.before.discount,MATCH($E12,vector.plans.names,0))</f>
        <v>156.55000000000001</v>
      </c>
      <c r="J12" s="397">
        <f>INDEX(vector.implicit.prices.voice.before.discount,MATCH($E12,vector.plans.names,0))</f>
        <v>0</v>
      </c>
      <c r="L12" s="509">
        <v>110.68101960008785</v>
      </c>
      <c r="M12" s="220">
        <f>I12*(1-Retail.minus.line.rental)</f>
        <v>108.75358772448313</v>
      </c>
    </row>
    <row r="13" spans="1:19" ht="12.75" thickBot="1">
      <c r="D13" s="95">
        <v>2</v>
      </c>
      <c r="E13" s="96" t="s">
        <v>168</v>
      </c>
      <c r="F13" s="337" t="s">
        <v>683</v>
      </c>
      <c r="G13" s="396">
        <f>VLOOKUP($E13,'Planes y paquetes'!$C$195:$J$196,G$10,FALSE)</f>
        <v>198</v>
      </c>
      <c r="I13" s="397">
        <f>INDEX(vector.implicit.prices.line.rental.before.discount,MATCH($E13,vector.plans.names,0))</f>
        <v>198</v>
      </c>
      <c r="J13" s="397">
        <f>INDEX(vector.implicit.prices.voice.before.discount,MATCH($E13,vector.plans.names,0))</f>
        <v>0</v>
      </c>
      <c r="L13" s="509">
        <v>139.98621450538099</v>
      </c>
      <c r="M13" s="220">
        <f>I13*(1-Retail.minus.line.rental)</f>
        <v>137.54845333406359</v>
      </c>
    </row>
    <row r="14" spans="1:19" ht="12">
      <c r="E14" s="50"/>
      <c r="F14" s="50"/>
      <c r="G14" s="50"/>
      <c r="H14" s="50"/>
      <c r="I14" s="50"/>
      <c r="J14" s="50"/>
      <c r="K14" s="50"/>
      <c r="L14" s="50"/>
      <c r="M14" s="50"/>
      <c r="N14" s="50"/>
      <c r="O14" s="50"/>
      <c r="P14" s="50"/>
      <c r="Q14" s="50"/>
    </row>
    <row r="15" spans="1:19" ht="12">
      <c r="B15" s="398"/>
      <c r="E15" s="96" t="s">
        <v>684</v>
      </c>
      <c r="L15" s="518" t="s">
        <v>678</v>
      </c>
      <c r="M15" s="518"/>
    </row>
    <row r="16" spans="1:19" ht="12">
      <c r="B16" s="398"/>
      <c r="F16" s="95">
        <v>4</v>
      </c>
      <c r="G16" s="95">
        <v>7</v>
      </c>
      <c r="L16" s="393" t="s">
        <v>679</v>
      </c>
      <c r="M16" s="394" t="s">
        <v>680</v>
      </c>
    </row>
    <row r="17" spans="2:17" ht="24">
      <c r="B17" s="398"/>
      <c r="E17" s="40" t="s">
        <v>317</v>
      </c>
      <c r="F17" s="40" t="s">
        <v>213</v>
      </c>
      <c r="G17" s="40" t="str">
        <f>"Precio minorista "&amp;Year.selected
&amp;" Sin impuestos"</f>
        <v>Precio minorista 2024 Sin impuestos</v>
      </c>
      <c r="H17" s="40"/>
      <c r="I17" s="40"/>
      <c r="J17" s="40"/>
      <c r="K17" s="40"/>
      <c r="L17" s="40"/>
      <c r="M17" s="40" t="s">
        <v>682</v>
      </c>
      <c r="N17" s="40" t="s">
        <v>215</v>
      </c>
      <c r="O17" s="40"/>
      <c r="P17" s="40"/>
      <c r="Q17" s="40"/>
    </row>
    <row r="18" spans="2:17" ht="12">
      <c r="D18" s="91">
        <f>D13+1</f>
        <v>3</v>
      </c>
      <c r="E18" s="255" t="s">
        <v>685</v>
      </c>
      <c r="F18" s="337" t="s">
        <v>686</v>
      </c>
      <c r="G18" s="396">
        <v>1.48</v>
      </c>
      <c r="L18" s="509">
        <v>0.93357935501993017</v>
      </c>
      <c r="M18" s="399">
        <f>G18*(1-Retail.minus.additional.calls)</f>
        <v>0.93125800125043645</v>
      </c>
      <c r="N18" t="s">
        <v>687</v>
      </c>
    </row>
    <row r="19" spans="2:17" ht="12">
      <c r="D19" s="91">
        <f>D18+1</f>
        <v>4</v>
      </c>
      <c r="E19" s="255" t="s">
        <v>688</v>
      </c>
      <c r="F19" s="396" t="str">
        <f>VLOOKUP($E19,'Planes y paquetes'!$C$189:$J$271,F$16,FALSE)</f>
        <v>Cobro por minuto</v>
      </c>
      <c r="G19" s="396">
        <f>VLOOKUP($E19,'Planes y paquetes'!$C$189:$J$271,G$16,FALSE)</f>
        <v>0.34200000000000003</v>
      </c>
      <c r="L19" s="509">
        <v>0.2157325266329839</v>
      </c>
      <c r="M19" s="399">
        <f>G19*(1-Retail.minus.additional.calls)</f>
        <v>0.21519610569435765</v>
      </c>
    </row>
    <row r="20" spans="2:17" ht="12">
      <c r="D20" s="91">
        <f t="shared" ref="D20:D62" si="0">D19+1</f>
        <v>5</v>
      </c>
      <c r="E20" s="255" t="s">
        <v>689</v>
      </c>
      <c r="F20" s="337" t="s">
        <v>686</v>
      </c>
      <c r="G20" s="400" t="s">
        <v>690</v>
      </c>
      <c r="L20" s="509" t="s">
        <v>690</v>
      </c>
      <c r="M20" s="400" t="s">
        <v>690</v>
      </c>
      <c r="N20" t="s">
        <v>691</v>
      </c>
    </row>
    <row r="21" spans="2:17" ht="12">
      <c r="D21" s="91">
        <f t="shared" si="0"/>
        <v>6</v>
      </c>
      <c r="E21" s="255" t="s">
        <v>692</v>
      </c>
      <c r="F21" s="337" t="s">
        <v>686</v>
      </c>
      <c r="G21" s="396">
        <v>5.3</v>
      </c>
      <c r="L21" s="509">
        <v>3.3432233659497501</v>
      </c>
      <c r="M21" s="220">
        <f>G21*(1-Retail.minus.additional.calls)</f>
        <v>3.33491040988332</v>
      </c>
      <c r="N21" t="s">
        <v>693</v>
      </c>
    </row>
    <row r="22" spans="2:17" ht="12">
      <c r="D22" s="91">
        <f t="shared" si="0"/>
        <v>7</v>
      </c>
      <c r="E22" s="255" t="s">
        <v>694</v>
      </c>
      <c r="F22" s="337" t="s">
        <v>686</v>
      </c>
      <c r="G22" s="400">
        <v>0</v>
      </c>
      <c r="L22" s="509">
        <v>0</v>
      </c>
      <c r="M22" s="220">
        <v>0</v>
      </c>
      <c r="N22" t="s">
        <v>695</v>
      </c>
    </row>
    <row r="23" spans="2:17" ht="12">
      <c r="D23" s="91">
        <f t="shared" si="0"/>
        <v>8</v>
      </c>
      <c r="E23" s="255" t="s">
        <v>696</v>
      </c>
      <c r="F23" s="337" t="s">
        <v>686</v>
      </c>
      <c r="G23" s="400" t="s">
        <v>690</v>
      </c>
      <c r="L23" s="509" t="s">
        <v>690</v>
      </c>
      <c r="M23" s="400" t="s">
        <v>690</v>
      </c>
      <c r="N23" t="s">
        <v>695</v>
      </c>
    </row>
    <row r="24" spans="2:17" ht="12">
      <c r="B24" s="398"/>
      <c r="D24" s="91">
        <f t="shared" si="0"/>
        <v>9</v>
      </c>
      <c r="E24" s="255" t="s">
        <v>697</v>
      </c>
      <c r="F24" s="396" t="str">
        <f>VLOOKUP($E24,'Planes y paquetes'!$C$189:$J$271,F$16,FALSE)</f>
        <v>Renta Mensual</v>
      </c>
      <c r="G24" s="396">
        <f>VLOOKUP($E24,'Planes y paquetes'!$C$189:$J$271,G$16,FALSE)</f>
        <v>82.86</v>
      </c>
      <c r="L24" s="509">
        <v>52.26782794388609</v>
      </c>
      <c r="M24" s="220">
        <f>G24*(1-Retail.minus.additional.calls)</f>
        <v>52.137863502439977</v>
      </c>
    </row>
    <row r="25" spans="2:17" ht="12">
      <c r="B25" s="398"/>
      <c r="D25" s="91">
        <f t="shared" si="0"/>
        <v>10</v>
      </c>
      <c r="E25" s="255" t="s">
        <v>698</v>
      </c>
      <c r="F25" s="396" t="str">
        <f>VLOOKUP($E25,'Planes y paquetes'!$C$189:$J$271,F$16,FALSE)</f>
        <v>Renta Mensual</v>
      </c>
      <c r="G25" s="396">
        <f>VLOOKUP($E25,'Planes y paquetes'!$C$189:$J$271,G$16,FALSE)</f>
        <v>82.86</v>
      </c>
      <c r="L25" s="509">
        <v>52.26782794388609</v>
      </c>
      <c r="M25" s="220">
        <f t="shared" ref="M25:M46" si="1">G25*(1-Retail.minus.additional.calls)</f>
        <v>52.137863502439977</v>
      </c>
    </row>
    <row r="26" spans="2:17" ht="12">
      <c r="B26" s="398"/>
      <c r="D26" s="91">
        <f t="shared" si="0"/>
        <v>11</v>
      </c>
      <c r="E26" s="255" t="s">
        <v>699</v>
      </c>
      <c r="F26" s="396" t="str">
        <f>VLOOKUP($E26,'Planes y paquetes'!$C$189:$J$271,F$16,FALSE)</f>
        <v>Cobro por minuto</v>
      </c>
      <c r="G26" s="396">
        <f>VLOOKUP($E26,'Planes y paquetes'!$C$189:$J$271,G$16,FALSE)</f>
        <v>9.42</v>
      </c>
      <c r="L26" s="509">
        <v>5.9421064353295554</v>
      </c>
      <c r="M26" s="220">
        <f t="shared" si="1"/>
        <v>5.9273313322831838</v>
      </c>
    </row>
    <row r="27" spans="2:17" ht="12">
      <c r="B27" s="398"/>
      <c r="D27" s="91">
        <f t="shared" si="0"/>
        <v>12</v>
      </c>
      <c r="E27" s="255" t="s">
        <v>700</v>
      </c>
      <c r="F27" s="396" t="str">
        <f>VLOOKUP($E27,'Planes y paquetes'!$C$189:$J$271,F$16,FALSE)</f>
        <v>Cobro por minuto</v>
      </c>
      <c r="G27" s="396">
        <f>VLOOKUP($E27,'Planes y paquetes'!$C$189:$J$271,G$16,FALSE)</f>
        <v>6.93</v>
      </c>
      <c r="L27" s="509">
        <v>4.3714222501946729</v>
      </c>
      <c r="M27" s="220">
        <f t="shared" si="1"/>
        <v>4.3605526680172462</v>
      </c>
    </row>
    <row r="28" spans="2:17" ht="12">
      <c r="B28" s="398"/>
      <c r="D28" s="91">
        <f t="shared" si="0"/>
        <v>13</v>
      </c>
      <c r="E28" s="255" t="s">
        <v>701</v>
      </c>
      <c r="F28" s="396" t="str">
        <f>VLOOKUP($E28,'Planes y paquetes'!$C$189:$J$271,F$16,FALSE)</f>
        <v>Cobro por minuto</v>
      </c>
      <c r="G28" s="396">
        <f>VLOOKUP($E28,'Planes y paquetes'!$C$189:$J$271,G$16,FALSE)</f>
        <v>8.34</v>
      </c>
      <c r="L28" s="509">
        <v>5.2608458249096071</v>
      </c>
      <c r="M28" s="220">
        <f t="shared" si="1"/>
        <v>5.2477646827220541</v>
      </c>
    </row>
    <row r="29" spans="2:17" ht="12">
      <c r="B29" s="398"/>
      <c r="D29" s="91">
        <f t="shared" si="0"/>
        <v>14</v>
      </c>
      <c r="E29" s="255" t="s">
        <v>702</v>
      </c>
      <c r="F29" s="396" t="str">
        <f>VLOOKUP($E29,'Planes y paquetes'!$C$189:$J$271,F$16,FALSE)</f>
        <v>Cobro por minuto</v>
      </c>
      <c r="G29" s="396">
        <f>VLOOKUP($E29,'Planes y paquetes'!$C$189:$J$271,G$16,FALSE)</f>
        <v>6.29</v>
      </c>
      <c r="L29" s="509">
        <v>3.9677122588347036</v>
      </c>
      <c r="M29" s="220">
        <f t="shared" si="1"/>
        <v>3.9578465053143552</v>
      </c>
    </row>
    <row r="30" spans="2:17" ht="12">
      <c r="B30" s="398"/>
      <c r="D30" s="91">
        <f t="shared" si="0"/>
        <v>15</v>
      </c>
      <c r="E30" s="255" t="s">
        <v>703</v>
      </c>
      <c r="F30" s="396" t="str">
        <f>VLOOKUP($E30,'Planes y paquetes'!$C$189:$J$271,F$16,FALSE)</f>
        <v>Cobro por minuto</v>
      </c>
      <c r="G30" s="396">
        <f>VLOOKUP($E30,'Planes y paquetes'!$C$189:$J$271,G$16,FALSE)</f>
        <v>13.09</v>
      </c>
      <c r="L30" s="509">
        <v>8.2571309170343827</v>
      </c>
      <c r="M30" s="220">
        <f t="shared" si="1"/>
        <v>8.2365994840325776</v>
      </c>
    </row>
    <row r="31" spans="2:17" ht="12">
      <c r="B31" s="398"/>
      <c r="D31" s="91">
        <f t="shared" si="0"/>
        <v>16</v>
      </c>
      <c r="E31" s="255" t="s">
        <v>704</v>
      </c>
      <c r="F31" s="396" t="str">
        <f>VLOOKUP($E31,'Planes y paquetes'!$C$189:$J$271,F$16,FALSE)</f>
        <v>Cobro por minuto</v>
      </c>
      <c r="G31" s="396">
        <f>VLOOKUP($E31,'Planes y paquetes'!$C$189:$J$271,G$16,FALSE)</f>
        <v>14.83</v>
      </c>
      <c r="L31" s="509">
        <v>9.3547174560443001</v>
      </c>
      <c r="M31" s="220">
        <f t="shared" si="1"/>
        <v>9.3314568638810638</v>
      </c>
    </row>
    <row r="32" spans="2:17" ht="12">
      <c r="B32" s="398"/>
      <c r="D32" s="91">
        <f t="shared" si="0"/>
        <v>17</v>
      </c>
      <c r="E32" s="255" t="s">
        <v>705</v>
      </c>
      <c r="F32" s="396" t="str">
        <f>VLOOKUP($E32,'Planes y paquetes'!$C$189:$J$271,F$16,FALSE)</f>
        <v>Cobro por minuto</v>
      </c>
      <c r="G32" s="396">
        <f>VLOOKUP($E32,'Planes y paquetes'!$C$189:$J$271,G$16,FALSE)</f>
        <v>13.64</v>
      </c>
      <c r="L32" s="509">
        <v>8.6040691908593576</v>
      </c>
      <c r="M32" s="220">
        <f t="shared" si="1"/>
        <v>8.5826750926053741</v>
      </c>
    </row>
    <row r="33" spans="2:13" ht="12">
      <c r="B33" s="398"/>
      <c r="D33" s="91">
        <f t="shared" si="0"/>
        <v>18</v>
      </c>
      <c r="E33" s="255" t="s">
        <v>706</v>
      </c>
      <c r="F33" s="396" t="str">
        <f>VLOOKUP($E33,'Planes y paquetes'!$C$189:$J$271,F$16,FALSE)</f>
        <v>Cobro por minuto</v>
      </c>
      <c r="G33" s="396">
        <f>VLOOKUP($E33,'Planes y paquetes'!$C$189:$J$271,G$16,FALSE)</f>
        <v>2</v>
      </c>
      <c r="L33" s="509">
        <v>1.2615937229999057</v>
      </c>
      <c r="M33" s="220">
        <f t="shared" si="1"/>
        <v>1.2584567584465358</v>
      </c>
    </row>
    <row r="34" spans="2:13" ht="12">
      <c r="B34" s="398"/>
      <c r="D34" s="91">
        <f t="shared" si="0"/>
        <v>19</v>
      </c>
      <c r="E34" s="255" t="s">
        <v>707</v>
      </c>
      <c r="F34" s="396" t="str">
        <f>VLOOKUP($E34,'Planes y paquetes'!$C$189:$J$271,F$16,FALSE)</f>
        <v>Cobro por segundo</v>
      </c>
      <c r="G34" s="396">
        <f>VLOOKUP($E34,'Planes y paquetes'!$C$189:$J$271,G$16,FALSE)</f>
        <v>0.14000000000000001</v>
      </c>
      <c r="L34" s="509">
        <v>8.83115606099934E-2</v>
      </c>
      <c r="M34" s="220">
        <f t="shared" si="1"/>
        <v>8.8091973091257519E-2</v>
      </c>
    </row>
    <row r="35" spans="2:13" ht="12">
      <c r="B35" s="398"/>
      <c r="D35" s="91">
        <f t="shared" si="0"/>
        <v>20</v>
      </c>
      <c r="E35" s="255" t="s">
        <v>708</v>
      </c>
      <c r="F35" s="396" t="str">
        <f>VLOOKUP($E35,'Planes y paquetes'!$C$189:$J$271,F$16,FALSE)</f>
        <v>Cobro por segundo</v>
      </c>
      <c r="G35" s="396">
        <f>VLOOKUP($E35,'Planes y paquetes'!$C$189:$J$271,G$16,FALSE)</f>
        <v>0.16</v>
      </c>
      <c r="L35" s="509">
        <v>0.10092749783999246</v>
      </c>
      <c r="M35" s="220">
        <f t="shared" si="1"/>
        <v>0.10067654067572286</v>
      </c>
    </row>
    <row r="36" spans="2:13" ht="12">
      <c r="B36" s="398"/>
      <c r="D36" s="91">
        <f t="shared" si="0"/>
        <v>21</v>
      </c>
      <c r="E36" s="255" t="s">
        <v>709</v>
      </c>
      <c r="F36" s="396" t="str">
        <f>VLOOKUP($E36,'Planes y paquetes'!$C$189:$J$271,F$16,FALSE)</f>
        <v>Cobro por segundo</v>
      </c>
      <c r="G36" s="396">
        <f>VLOOKUP($E36,'Planes y paquetes'!$C$189:$J$271,G$16,FALSE)</f>
        <v>1.2500000000000001E-2</v>
      </c>
      <c r="L36" s="509">
        <v>7.8849607687494112E-3</v>
      </c>
      <c r="M36" s="220">
        <f>G36*(1-Retail.minus.additional.calls)</f>
        <v>7.8653547402908492E-3</v>
      </c>
    </row>
    <row r="37" spans="2:13" ht="12">
      <c r="B37" s="398"/>
      <c r="D37" s="91">
        <f t="shared" si="0"/>
        <v>22</v>
      </c>
      <c r="E37" s="255" t="s">
        <v>710</v>
      </c>
      <c r="F37" s="396" t="str">
        <f>VLOOKUP($E37,'Planes y paquetes'!$C$189:$J$271,F$16,FALSE)</f>
        <v>Cobro por segundo</v>
      </c>
      <c r="G37" s="396">
        <f>VLOOKUP($E37,'Planes y paquetes'!$C$189:$J$271,G$16,FALSE)</f>
        <v>0.04</v>
      </c>
      <c r="L37" s="509">
        <v>2.5231874459998114E-2</v>
      </c>
      <c r="M37" s="220">
        <f>G37*(1-Retail.minus.additional.calls)</f>
        <v>2.5169135168930715E-2</v>
      </c>
    </row>
    <row r="38" spans="2:13" ht="12">
      <c r="B38" s="398"/>
      <c r="D38" s="91">
        <f t="shared" si="0"/>
        <v>23</v>
      </c>
      <c r="E38" s="255" t="s">
        <v>711</v>
      </c>
      <c r="F38" s="396" t="str">
        <f>VLOOKUP($E38,'Planes y paquetes'!$C$189:$J$271,F$16,FALSE)</f>
        <v>Cobro por segundo</v>
      </c>
      <c r="G38" s="396">
        <f>VLOOKUP($E38,'Planes y paquetes'!$C$189:$J$271,G$16,FALSE)</f>
        <v>0.27</v>
      </c>
      <c r="L38" s="509">
        <v>0.17031515260498728</v>
      </c>
      <c r="M38" s="220">
        <f>G38*(1-Retail.minus.additional.calls)</f>
        <v>0.16989166239028233</v>
      </c>
    </row>
    <row r="39" spans="2:13" ht="12">
      <c r="B39" s="398"/>
      <c r="D39" s="91">
        <f t="shared" si="0"/>
        <v>24</v>
      </c>
      <c r="E39" s="255" t="s">
        <v>712</v>
      </c>
      <c r="F39" s="396" t="str">
        <f>VLOOKUP($E39,'Planes y paquetes'!$C$189:$J$271,F$16,FALSE)</f>
        <v>Cobro por segundo</v>
      </c>
      <c r="G39" s="396">
        <f>VLOOKUP($E39,'Planes y paquetes'!$C$189:$J$271,G$16,FALSE)</f>
        <v>0.18</v>
      </c>
      <c r="L39" s="509">
        <v>0.11354343506999151</v>
      </c>
      <c r="M39" s="220">
        <f t="shared" si="1"/>
        <v>0.11326110826018822</v>
      </c>
    </row>
    <row r="40" spans="2:13" ht="12">
      <c r="B40" s="398"/>
      <c r="D40" s="91">
        <f t="shared" si="0"/>
        <v>25</v>
      </c>
      <c r="E40" s="255" t="s">
        <v>713</v>
      </c>
      <c r="F40" s="396" t="str">
        <f>VLOOKUP($E40,'Planes y paquetes'!$C$189:$J$271,F$16,FALSE)</f>
        <v>Cobro por segundo</v>
      </c>
      <c r="G40" s="396">
        <f>VLOOKUP($E40,'Planes y paquetes'!$C$189:$J$271,G$16,FALSE)</f>
        <v>0.12</v>
      </c>
      <c r="L40" s="509">
        <v>7.5695623379994345E-2</v>
      </c>
      <c r="M40" s="220">
        <f>G40*(1-Retail.minus.additional.calls)</f>
        <v>7.550740550679215E-2</v>
      </c>
    </row>
    <row r="41" spans="2:13" ht="12">
      <c r="B41" s="398"/>
      <c r="D41" s="91">
        <f t="shared" si="0"/>
        <v>26</v>
      </c>
      <c r="E41" s="255" t="s">
        <v>714</v>
      </c>
      <c r="F41" s="396" t="str">
        <f>VLOOKUP($E41,'Planes y paquetes'!$C$189:$J$271,F$16,FALSE)</f>
        <v>Cobro por segundo</v>
      </c>
      <c r="G41" s="396">
        <f>VLOOKUP($E41,'Planes y paquetes'!$C$189:$J$271,G$16,FALSE)</f>
        <v>0.24</v>
      </c>
      <c r="L41" s="509">
        <v>0.15139124675998869</v>
      </c>
      <c r="M41" s="220">
        <f>G41*(1-Retail.minus.additional.calls)</f>
        <v>0.1510148110135843</v>
      </c>
    </row>
    <row r="42" spans="2:13" ht="12">
      <c r="B42" s="398"/>
      <c r="D42" s="91">
        <f t="shared" si="0"/>
        <v>27</v>
      </c>
      <c r="E42" s="255" t="s">
        <v>715</v>
      </c>
      <c r="F42" s="396" t="str">
        <f>VLOOKUP($E42,'Planes y paquetes'!$C$189:$J$271,F$16,FALSE)</f>
        <v>Cobro por segundo</v>
      </c>
      <c r="G42" s="396">
        <f>VLOOKUP($E42,'Planes y paquetes'!$C$189:$J$271,G$16,FALSE)</f>
        <v>0.25</v>
      </c>
      <c r="L42" s="509">
        <v>0.15769921537498821</v>
      </c>
      <c r="M42" s="220">
        <f t="shared" si="1"/>
        <v>0.15730709480581698</v>
      </c>
    </row>
    <row r="43" spans="2:13" ht="12">
      <c r="B43" s="398"/>
      <c r="D43" s="91">
        <f t="shared" si="0"/>
        <v>28</v>
      </c>
      <c r="E43" s="255" t="s">
        <v>716</v>
      </c>
      <c r="F43" s="396" t="str">
        <f>VLOOKUP($E43,'Planes y paquetes'!$C$189:$J$271,F$16,FALSE)</f>
        <v>Cobro por llamada</v>
      </c>
      <c r="G43" s="396">
        <f>VLOOKUP($E43,'Planes y paquetes'!$C$189:$J$271,G$16,FALSE)</f>
        <v>1.48</v>
      </c>
      <c r="L43" s="509">
        <v>0.93357935501993017</v>
      </c>
      <c r="M43" s="220">
        <f t="shared" si="1"/>
        <v>0.93125800125043645</v>
      </c>
    </row>
    <row r="44" spans="2:13" ht="12">
      <c r="B44" s="398"/>
      <c r="D44" s="91">
        <f t="shared" si="0"/>
        <v>29</v>
      </c>
      <c r="E44" s="255" t="s">
        <v>717</v>
      </c>
      <c r="F44" s="396" t="str">
        <f>VLOOKUP($E44,'Planes y paquetes'!$C$189:$J$271,F$16,FALSE)</f>
        <v>Cobro por llamada</v>
      </c>
      <c r="G44" s="396">
        <f>VLOOKUP($E44,'Planes y paquetes'!$C$189:$J$271,G$16,FALSE)</f>
        <v>1.48</v>
      </c>
      <c r="L44" s="509">
        <v>0.93357935501993017</v>
      </c>
      <c r="M44" s="220">
        <f t="shared" si="1"/>
        <v>0.93125800125043645</v>
      </c>
    </row>
    <row r="45" spans="2:13" ht="12">
      <c r="B45" s="398"/>
      <c r="D45" s="91">
        <f t="shared" si="0"/>
        <v>30</v>
      </c>
      <c r="E45" s="255" t="s">
        <v>718</v>
      </c>
      <c r="F45" s="396" t="str">
        <f>VLOOKUP($E45,'Planes y paquetes'!$C$189:$J$271,F$16,FALSE)</f>
        <v>Renta Mensual</v>
      </c>
      <c r="G45" s="396">
        <f>VLOOKUP($E45,'Planes y paquetes'!$C$189:$J$271,G$16,FALSE)</f>
        <v>1198</v>
      </c>
      <c r="L45" s="509">
        <v>755.69464007694353</v>
      </c>
      <c r="M45" s="220">
        <f t="shared" si="1"/>
        <v>753.81559830947492</v>
      </c>
    </row>
    <row r="46" spans="2:13" ht="12">
      <c r="B46" s="398"/>
      <c r="D46" s="91">
        <f t="shared" si="0"/>
        <v>31</v>
      </c>
      <c r="E46" s="255" t="s">
        <v>719</v>
      </c>
      <c r="F46" s="396" t="str">
        <f>VLOOKUP($E46,'Planes y paquetes'!$C$189:$J$271,F$16,FALSE)</f>
        <v>Renta Mensual</v>
      </c>
      <c r="G46" s="396">
        <f>VLOOKUP($E46,'Planes y paquetes'!$C$189:$J$271,G$16,FALSE)</f>
        <v>450</v>
      </c>
      <c r="L46" s="509">
        <v>283.85858767497876</v>
      </c>
      <c r="M46" s="220">
        <f t="shared" si="1"/>
        <v>283.15277065047059</v>
      </c>
    </row>
    <row r="47" spans="2:13" ht="12">
      <c r="B47" s="398"/>
      <c r="D47" s="91">
        <f t="shared" si="0"/>
        <v>32</v>
      </c>
      <c r="E47" s="255" t="s">
        <v>720</v>
      </c>
      <c r="F47" s="396" t="str">
        <f>VLOOKUP($E47,'Planes y paquetes'!$C$189:$J$271,F$16,FALSE)</f>
        <v>Renta Mensual</v>
      </c>
      <c r="G47" s="396">
        <f>VLOOKUP($E47,'Planes y paquetes'!$C$189:$J$271,G$16,FALSE)</f>
        <v>798</v>
      </c>
      <c r="L47" s="509">
        <v>503.37589547696234</v>
      </c>
      <c r="M47" s="399">
        <f t="shared" ref="M47:M52" si="2">G47*(1-Retail.minus.additional.calls)</f>
        <v>502.12424662016781</v>
      </c>
    </row>
    <row r="48" spans="2:13" ht="12">
      <c r="B48" s="398"/>
      <c r="D48" s="91">
        <f t="shared" si="0"/>
        <v>33</v>
      </c>
      <c r="E48" s="255" t="s">
        <v>721</v>
      </c>
      <c r="F48" s="396" t="str">
        <f>VLOOKUP($E48,'Planes y paquetes'!$C$189:$J$271,F$16,FALSE)</f>
        <v>Renta Mensual</v>
      </c>
      <c r="G48" s="396">
        <f>VLOOKUP($E48,'Planes y paquetes'!$C$189:$J$271,G$16,FALSE)</f>
        <v>200</v>
      </c>
      <c r="L48" s="509">
        <v>126.15937229999057</v>
      </c>
      <c r="M48" s="399">
        <f t="shared" si="2"/>
        <v>125.84567584465358</v>
      </c>
    </row>
    <row r="49" spans="2:17" ht="12">
      <c r="B49" s="398"/>
      <c r="D49" s="91">
        <f t="shared" si="0"/>
        <v>34</v>
      </c>
      <c r="E49" s="255" t="s">
        <v>722</v>
      </c>
      <c r="F49" s="396" t="str">
        <f>VLOOKUP($E49,'Planes y paquetes'!$C$189:$J$271,F$16,FALSE)</f>
        <v>Renta Mensual</v>
      </c>
      <c r="G49" s="396">
        <f>VLOOKUP($E49,'Planes y paquetes'!$C$189:$J$271,G$16,FALSE)</f>
        <v>500</v>
      </c>
      <c r="L49" s="509">
        <v>315.3984307499764</v>
      </c>
      <c r="M49" s="399">
        <f t="shared" si="2"/>
        <v>314.61418961163395</v>
      </c>
    </row>
    <row r="50" spans="2:17" ht="12">
      <c r="B50" s="398"/>
      <c r="D50" s="91">
        <f t="shared" si="0"/>
        <v>35</v>
      </c>
      <c r="E50" s="255" t="s">
        <v>723</v>
      </c>
      <c r="F50" s="396" t="str">
        <f>VLOOKUP($E50,'Planes y paquetes'!$C$189:$J$271,F$16,FALSE)</f>
        <v>Cobro por minuto</v>
      </c>
      <c r="G50" s="396">
        <f>VLOOKUP($E50,'Planes y paquetes'!$C$189:$J$271,G$16,FALSE)</f>
        <v>4.57</v>
      </c>
      <c r="L50" s="509">
        <v>2.8827416570547846</v>
      </c>
      <c r="M50" s="399">
        <f t="shared" si="2"/>
        <v>2.8755736930503346</v>
      </c>
    </row>
    <row r="51" spans="2:17" ht="12">
      <c r="B51" s="398"/>
      <c r="C51" s="132"/>
      <c r="D51" s="91">
        <f t="shared" si="0"/>
        <v>36</v>
      </c>
      <c r="E51" s="255" t="s">
        <v>724</v>
      </c>
      <c r="F51" s="396" t="str">
        <f>VLOOKUP($E51,'Planes y paquetes'!$C$189:$J$271,F$16,FALSE)</f>
        <v>Cobro por minuto</v>
      </c>
      <c r="G51" s="396">
        <f>VLOOKUP($E51,'Planes y paquetes'!$C$189:$J$271,G$16,FALSE)</f>
        <v>4.57</v>
      </c>
      <c r="L51" s="509">
        <v>2.8827416570547846</v>
      </c>
      <c r="M51" s="399">
        <f t="shared" si="2"/>
        <v>2.8755736930503346</v>
      </c>
    </row>
    <row r="52" spans="2:17" ht="12">
      <c r="B52" s="398"/>
      <c r="C52" s="132"/>
      <c r="D52" s="91">
        <f t="shared" si="0"/>
        <v>37</v>
      </c>
      <c r="E52" s="255" t="s">
        <v>725</v>
      </c>
      <c r="F52" s="396" t="str">
        <f>VLOOKUP($E52,'Planes y paquetes'!$C$189:$J$271,F$16,FALSE)</f>
        <v>Cobro por minuto</v>
      </c>
      <c r="G52" s="396">
        <f>VLOOKUP($E52,'Planes y paquetes'!$C$189:$J$271,G$16,FALSE)</f>
        <v>5.71</v>
      </c>
      <c r="L52" s="509">
        <v>3.6018500791647305</v>
      </c>
      <c r="M52" s="399">
        <f t="shared" si="2"/>
        <v>3.5928940453648597</v>
      </c>
    </row>
    <row r="53" spans="2:17" ht="12">
      <c r="B53" s="398"/>
      <c r="C53" s="132"/>
      <c r="D53" s="91">
        <f t="shared" si="0"/>
        <v>38</v>
      </c>
      <c r="E53" s="255" t="s">
        <v>726</v>
      </c>
      <c r="F53" s="396" t="str">
        <f>VLOOKUP($E53,'Planes y paquetes'!$C$189:$J$271,F$16,FALSE)</f>
        <v>Cobro por minuto</v>
      </c>
      <c r="G53" s="396">
        <f>VLOOKUP($E53,'Planes y paquetes'!$C$189:$J$271,G$16,FALSE)</f>
        <v>8</v>
      </c>
      <c r="L53" s="509">
        <v>5.0463748919996227</v>
      </c>
      <c r="M53" s="399">
        <f t="shared" ref="M53:M59" si="3">G53*(1-Retail.minus.additional.calls)</f>
        <v>5.0338270337861433</v>
      </c>
    </row>
    <row r="54" spans="2:17" ht="12">
      <c r="B54" s="398"/>
      <c r="C54" s="132"/>
      <c r="D54" s="91">
        <f t="shared" si="0"/>
        <v>39</v>
      </c>
      <c r="E54" s="255" t="s">
        <v>727</v>
      </c>
      <c r="F54" s="396" t="str">
        <f>VLOOKUP($E54,'Planes y paquetes'!$C$189:$J$271,F$16,FALSE)</f>
        <v>Cobro por minuto</v>
      </c>
      <c r="G54" s="396">
        <f>VLOOKUP($E54,'Planes y paquetes'!$C$189:$J$271,G$16,FALSE)</f>
        <v>9</v>
      </c>
      <c r="L54" s="509">
        <v>5.6771717534995751</v>
      </c>
      <c r="M54" s="399">
        <f t="shared" si="3"/>
        <v>5.6630554130094115</v>
      </c>
    </row>
    <row r="55" spans="2:17" ht="12">
      <c r="B55" s="398"/>
      <c r="C55" s="132"/>
      <c r="D55" s="91">
        <f t="shared" si="0"/>
        <v>40</v>
      </c>
      <c r="E55" s="255" t="s">
        <v>728</v>
      </c>
      <c r="F55" s="396" t="str">
        <f>VLOOKUP($E55,'Planes y paquetes'!$C$189:$J$271,F$16,FALSE)</f>
        <v>Cobro por minuto</v>
      </c>
      <c r="G55" s="396">
        <f>VLOOKUP($E55,'Planes y paquetes'!$C$189:$J$271,G$16,FALSE)</f>
        <v>1.48</v>
      </c>
      <c r="L55" s="509">
        <v>0.93357935501993017</v>
      </c>
      <c r="M55" s="399">
        <f t="shared" si="3"/>
        <v>0.93125800125043645</v>
      </c>
    </row>
    <row r="56" spans="2:17" ht="12">
      <c r="B56" s="398"/>
      <c r="C56" s="132"/>
      <c r="D56" s="91">
        <f t="shared" si="0"/>
        <v>41</v>
      </c>
      <c r="E56" s="255" t="s">
        <v>729</v>
      </c>
      <c r="F56" s="396" t="str">
        <f>VLOOKUP($E56,'Planes y paquetes'!$C$189:$J$271,F$16,FALSE)</f>
        <v>Cobro por minuto</v>
      </c>
      <c r="G56" s="396">
        <f>VLOOKUP($E56,'Planes y paquetes'!$C$189:$J$271,G$16,FALSE)</f>
        <v>10</v>
      </c>
      <c r="L56" s="509">
        <v>6.3079686149995284</v>
      </c>
      <c r="M56" s="399">
        <f t="shared" si="3"/>
        <v>6.2922837922326789</v>
      </c>
    </row>
    <row r="57" spans="2:17" ht="12">
      <c r="B57" s="398"/>
      <c r="C57" s="132"/>
      <c r="D57" s="91">
        <f t="shared" si="0"/>
        <v>42</v>
      </c>
      <c r="E57" s="255" t="s">
        <v>730</v>
      </c>
      <c r="F57" s="396" t="str">
        <f>VLOOKUP($E57,'Planes y paquetes'!$C$189:$J$271,F$16,FALSE)</f>
        <v>Cobro por minuto</v>
      </c>
      <c r="G57" s="396">
        <f>VLOOKUP($E57,'Planes y paquetes'!$C$189:$J$271,G$16,FALSE)</f>
        <v>4</v>
      </c>
      <c r="L57" s="509">
        <v>2.5231874459998114</v>
      </c>
      <c r="M57" s="399">
        <f t="shared" si="3"/>
        <v>2.5169135168930716</v>
      </c>
    </row>
    <row r="58" spans="2:17" ht="12">
      <c r="B58" s="398"/>
      <c r="C58" s="132"/>
      <c r="D58" s="91">
        <f t="shared" si="0"/>
        <v>43</v>
      </c>
      <c r="E58" s="255" t="s">
        <v>373</v>
      </c>
      <c r="F58" s="401" t="s">
        <v>731</v>
      </c>
      <c r="G58" s="396">
        <v>20</v>
      </c>
      <c r="L58" s="509">
        <v>12.615937229999057</v>
      </c>
      <c r="M58" s="399">
        <f t="shared" si="3"/>
        <v>12.584567584465358</v>
      </c>
    </row>
    <row r="59" spans="2:17" ht="12">
      <c r="B59" s="398"/>
      <c r="D59" s="91">
        <f t="shared" si="0"/>
        <v>44</v>
      </c>
      <c r="E59" s="255" t="s">
        <v>732</v>
      </c>
      <c r="F59" s="401" t="s">
        <v>683</v>
      </c>
      <c r="G59" s="396">
        <v>25</v>
      </c>
      <c r="L59" s="509">
        <v>15.769921537498821</v>
      </c>
      <c r="M59" s="399">
        <f t="shared" si="3"/>
        <v>15.730709480581698</v>
      </c>
    </row>
    <row r="60" spans="2:17" ht="12">
      <c r="B60" s="398"/>
      <c r="D60" s="91">
        <f t="shared" si="0"/>
        <v>45</v>
      </c>
      <c r="E60" s="255" t="s">
        <v>381</v>
      </c>
      <c r="F60" s="401" t="s">
        <v>683</v>
      </c>
      <c r="G60" s="396">
        <v>50</v>
      </c>
      <c r="L60" s="509">
        <v>31.539843074997641</v>
      </c>
      <c r="M60" s="399">
        <f>G60*(1-Retail.minus.additional.calls)</f>
        <v>31.461418961163396</v>
      </c>
    </row>
    <row r="61" spans="2:17" ht="12">
      <c r="B61" s="398"/>
      <c r="D61" s="91">
        <f t="shared" si="0"/>
        <v>46</v>
      </c>
      <c r="E61" s="255" t="s">
        <v>383</v>
      </c>
      <c r="F61" s="401" t="s">
        <v>683</v>
      </c>
      <c r="G61" s="396">
        <v>65</v>
      </c>
      <c r="L61" s="509">
        <v>41.001795997496934</v>
      </c>
      <c r="M61" s="399">
        <f>G61*(1-Retail.minus.additional.calls)</f>
        <v>40.899844649512417</v>
      </c>
    </row>
    <row r="62" spans="2:17" ht="12.75" thickBot="1">
      <c r="B62" s="398"/>
      <c r="D62" s="91">
        <f t="shared" si="0"/>
        <v>47</v>
      </c>
      <c r="E62" s="255" t="s">
        <v>385</v>
      </c>
      <c r="F62" s="401" t="s">
        <v>683</v>
      </c>
      <c r="G62" s="396">
        <v>80</v>
      </c>
      <c r="L62" s="509">
        <v>50.463748919996227</v>
      </c>
      <c r="M62" s="399">
        <f>G62*(1-Retail.minus.additional.calls)</f>
        <v>50.338270337861431</v>
      </c>
    </row>
    <row r="63" spans="2:17" ht="12">
      <c r="E63" s="50"/>
      <c r="F63" s="50"/>
      <c r="G63" s="50"/>
      <c r="H63" s="50"/>
      <c r="I63" s="50"/>
      <c r="J63" s="50"/>
      <c r="K63" s="50"/>
      <c r="L63" s="50"/>
      <c r="M63" s="50"/>
      <c r="N63" s="50"/>
      <c r="O63" s="50"/>
      <c r="P63" s="50"/>
      <c r="Q63" s="50"/>
    </row>
    <row r="64" spans="2:17" ht="12"/>
    <row r="65" spans="1:19" ht="12"/>
    <row r="66" spans="1:19" ht="12">
      <c r="A66" s="94">
        <v>2</v>
      </c>
      <c r="B66" s="94" t="s">
        <v>733</v>
      </c>
      <c r="C66" s="73"/>
      <c r="D66" s="73"/>
      <c r="E66" s="73"/>
      <c r="F66" s="73"/>
      <c r="G66" s="73"/>
      <c r="H66" s="73"/>
      <c r="I66" s="73"/>
      <c r="J66" s="73"/>
      <c r="K66" s="73"/>
      <c r="L66" s="73"/>
      <c r="M66" s="73"/>
      <c r="N66" s="73"/>
      <c r="O66" s="73"/>
      <c r="P66" s="73"/>
      <c r="Q66" s="73"/>
      <c r="R66" s="73"/>
      <c r="S66" s="73"/>
    </row>
    <row r="67" spans="1:19" ht="12">
      <c r="B67" s="518" t="s">
        <v>678</v>
      </c>
      <c r="C67" s="518"/>
    </row>
    <row r="68" spans="1:19" ht="24">
      <c r="B68" s="393" t="s">
        <v>679</v>
      </c>
      <c r="C68" s="394" t="s">
        <v>680</v>
      </c>
    </row>
    <row r="69" spans="1:19" ht="12">
      <c r="B69" s="508">
        <v>0.28896245244783431</v>
      </c>
      <c r="C69" s="381">
        <f ca="1">INDIRECT(D69)</f>
        <v>0.30631600296715117</v>
      </c>
      <c r="D69" s="79" t="s">
        <v>676</v>
      </c>
      <c r="F69" s="125"/>
      <c r="G69" s="98"/>
      <c r="H69" s="98"/>
      <c r="I69" s="98"/>
      <c r="J69" s="125"/>
      <c r="K69" s="98"/>
      <c r="L69" s="98"/>
      <c r="M69" s="98"/>
      <c r="N69" s="98"/>
      <c r="O69" s="98"/>
      <c r="P69" s="98"/>
    </row>
    <row r="70" spans="1:19" ht="12">
      <c r="F70" s="395"/>
      <c r="G70" s="395"/>
      <c r="H70" s="395"/>
      <c r="I70" s="395"/>
      <c r="J70" s="395"/>
      <c r="K70" s="395"/>
      <c r="L70" s="395"/>
      <c r="M70" s="395"/>
      <c r="N70" s="395"/>
      <c r="O70" s="395"/>
      <c r="P70" s="395"/>
    </row>
    <row r="71" spans="1:19" ht="12">
      <c r="E71" s="96" t="s">
        <v>734</v>
      </c>
    </row>
    <row r="72" spans="1:19" ht="12">
      <c r="L72" s="518" t="s">
        <v>678</v>
      </c>
      <c r="M72" s="518"/>
    </row>
    <row r="73" spans="1:19" ht="12">
      <c r="F73" s="95">
        <v>4</v>
      </c>
      <c r="G73" s="95">
        <v>5</v>
      </c>
      <c r="L73" s="393" t="s">
        <v>679</v>
      </c>
      <c r="M73" s="394" t="s">
        <v>680</v>
      </c>
    </row>
    <row r="74" spans="1:19" ht="24">
      <c r="E74" s="40" t="s">
        <v>317</v>
      </c>
      <c r="F74" s="40" t="s">
        <v>213</v>
      </c>
      <c r="G74" s="40" t="str">
        <f>"Precio minorista "&amp;Year.selected
&amp;" Sin impuestos"</f>
        <v>Precio minorista 2024 Sin impuestos</v>
      </c>
      <c r="H74" s="394" t="s">
        <v>176</v>
      </c>
      <c r="I74" s="40" t="s">
        <v>735</v>
      </c>
      <c r="J74" s="40" t="s">
        <v>736</v>
      </c>
      <c r="K74" s="40"/>
      <c r="L74" s="40"/>
      <c r="M74" s="40" t="s">
        <v>682</v>
      </c>
      <c r="N74" s="40" t="s">
        <v>215</v>
      </c>
      <c r="O74" s="40"/>
      <c r="P74" s="40"/>
    </row>
    <row r="75" spans="1:19" ht="12">
      <c r="D75" s="95">
        <v>1</v>
      </c>
      <c r="E75" s="255" t="s">
        <v>167</v>
      </c>
      <c r="F75" s="337" t="str">
        <f>VLOOKUP($E75,'Planes y paquetes'!$C$96:$H$136,F$73,FALSE)</f>
        <v>Renta Mensual</v>
      </c>
      <c r="G75" s="396">
        <f>VLOOKUP($E75,'Planes y paquetes'!$C$96:$H$136,G$73,FALSE)</f>
        <v>240.52</v>
      </c>
      <c r="H75" s="397">
        <f t="shared" ref="H75:H87" si="4">INDEX(vector.implicit.prices.broadband.after.discount,MATCH(E75,vector.plans.names,0))</f>
        <v>250</v>
      </c>
      <c r="I75" t="str">
        <f>IFERROR(VLOOKUP($E75,'Planes y paquetes'!$C$384:$P$423,13,FALSE),"")</f>
        <v>30 Mbps</v>
      </c>
      <c r="J75" t="str">
        <f>IFERROR(VLOOKUP($E75,'Planes y paquetes'!$C$384:$P$423,14,FALSE),"")</f>
        <v>5 Mbps</v>
      </c>
      <c r="L75" s="509">
        <v>171.01875093724692</v>
      </c>
      <c r="M75" s="402">
        <f t="shared" ref="M75:M85" si="5">H75*(1-Retail.minus.int.retail.minus.items.only)</f>
        <v>173.42099925821219</v>
      </c>
      <c r="N75" s="403"/>
    </row>
    <row r="76" spans="1:19" ht="12">
      <c r="D76" s="95">
        <v>2</v>
      </c>
      <c r="E76" s="126" t="s">
        <v>170</v>
      </c>
      <c r="F76" s="337" t="str">
        <f>VLOOKUP($E76,'Planes y paquetes'!$C$96:$H$136,F$73,FALSE)</f>
        <v>Renta Mensual</v>
      </c>
      <c r="G76" s="396">
        <f>VLOOKUP($E76,'Planes y paquetes'!$C$96:$H$136,G$73,FALSE)</f>
        <v>257.76</v>
      </c>
      <c r="H76" s="397">
        <f t="shared" si="4"/>
        <v>282</v>
      </c>
      <c r="I76" t="str">
        <f>IFERROR(VLOOKUP($E76,'Planes y paquetes'!$C$384:$P$423,13,FALSE),"")</f>
        <v>40 Mbps</v>
      </c>
      <c r="J76" t="str">
        <f>IFERROR(VLOOKUP($E76,'Planes y paquetes'!$C$384:$P$423,14,FALSE),"")</f>
        <v>5 Mbps</v>
      </c>
      <c r="L76" s="509">
        <v>183.27703825704623</v>
      </c>
      <c r="M76" s="402">
        <f t="shared" si="5"/>
        <v>195.61888716326337</v>
      </c>
      <c r="N76" s="404"/>
    </row>
    <row r="77" spans="1:19" ht="12">
      <c r="D77" s="95">
        <v>3</v>
      </c>
      <c r="E77" s="255" t="s">
        <v>174</v>
      </c>
      <c r="F77" s="337" t="str">
        <f>VLOOKUP($E77,'Planes y paquetes'!$C$96:$H$136,F$73,FALSE)</f>
        <v>Renta Mensual</v>
      </c>
      <c r="G77" s="396">
        <f>VLOOKUP($E77,'Planes y paquetes'!$C$96:$H$136,G$73,FALSE)</f>
        <v>300.86</v>
      </c>
      <c r="H77" s="397">
        <f t="shared" si="4"/>
        <v>371.16679129190078</v>
      </c>
      <c r="I77" t="str">
        <f>IFERROR(VLOOKUP($E77,'Planes y paquetes'!$C$384:$P$423,13,FALSE),"")</f>
        <v>60 Mbps</v>
      </c>
      <c r="J77" t="str">
        <f>IFERROR(VLOOKUP($E77,'Planes y paquetes'!$C$384:$P$423,14,FALSE),"")</f>
        <v>10 Mbps</v>
      </c>
      <c r="L77" s="509">
        <v>202.79509800856593</v>
      </c>
      <c r="M77" s="402">
        <f t="shared" si="5"/>
        <v>257.47246334922289</v>
      </c>
      <c r="N77" s="404"/>
    </row>
    <row r="78" spans="1:19" ht="12">
      <c r="D78" s="95">
        <v>4</v>
      </c>
      <c r="E78" s="255" t="s">
        <v>178</v>
      </c>
      <c r="F78" s="337" t="str">
        <f>VLOOKUP($E78,'Planes y paquetes'!$C$96:$H$136,F$73,FALSE)</f>
        <v>Renta Mensual</v>
      </c>
      <c r="G78" s="396">
        <f>VLOOKUP($E78,'Planes y paquetes'!$C$96:$H$136,G$73,FALSE)</f>
        <v>343.97</v>
      </c>
      <c r="H78" s="397">
        <f t="shared" si="4"/>
        <v>278.36908298398066</v>
      </c>
      <c r="I78" t="str">
        <f>IFERROR(VLOOKUP($E78,'Planes y paquetes'!$C$384:$P$423,13,FALSE),"")</f>
        <v>80 Mbps</v>
      </c>
      <c r="J78" t="str">
        <f>IFERROR(VLOOKUP($E78,'Planes y paquetes'!$C$384:$P$423,14,FALSE),"")</f>
        <v>20 Mbps</v>
      </c>
      <c r="L78" s="509">
        <v>233.37490553846774</v>
      </c>
      <c r="M78" s="402">
        <f t="shared" si="5"/>
        <v>193.10017813469648</v>
      </c>
      <c r="N78" s="404"/>
    </row>
    <row r="79" spans="1:19" ht="12">
      <c r="D79" s="95">
        <v>5</v>
      </c>
      <c r="E79" s="255" t="s">
        <v>181</v>
      </c>
      <c r="F79" s="337" t="str">
        <f>VLOOKUP($E79,'Planes y paquetes'!$C$96:$H$136,F$73,FALSE)</f>
        <v>Renta Mensual</v>
      </c>
      <c r="G79" s="396">
        <f>VLOOKUP($E79,'Planes y paquetes'!$C$96:$H$136,G$73,FALSE)</f>
        <v>387.07</v>
      </c>
      <c r="H79" s="397">
        <f t="shared" si="4"/>
        <v>265.40743531048071</v>
      </c>
      <c r="I79" t="str">
        <f>IFERROR(VLOOKUP($E79,'Planes y paquetes'!$C$384:$P$423,13,FALSE),"")</f>
        <v>100 Mbps</v>
      </c>
      <c r="J79" t="str">
        <f>IFERROR(VLOOKUP($E79,'Planes y paquetes'!$C$384:$P$423,14,FALSE),"")</f>
        <v>20 Mbps</v>
      </c>
      <c r="L79" s="509">
        <v>263.96321434397856</v>
      </c>
      <c r="M79" s="402">
        <f t="shared" si="5"/>
        <v>184.10889056841151</v>
      </c>
      <c r="N79" s="404"/>
    </row>
    <row r="80" spans="1:19" ht="12">
      <c r="D80" s="95">
        <v>6</v>
      </c>
      <c r="E80" s="255" t="s">
        <v>183</v>
      </c>
      <c r="F80" s="337" t="str">
        <f>VLOOKUP($E80,'Planes y paquetes'!$C$96:$H$136,F$73,FALSE)</f>
        <v>Renta Mensual</v>
      </c>
      <c r="G80" s="396">
        <f>VLOOKUP($E80,'Planes y paquetes'!$C$96:$H$136,G$73,FALSE)</f>
        <v>473.28</v>
      </c>
      <c r="H80" s="397">
        <f t="shared" si="4"/>
        <v>321.26232106713491</v>
      </c>
      <c r="I80" t="str">
        <f>IFERROR(VLOOKUP($E80,'Planes y paquetes'!$C$384:$P$423,13,FALSE),"")</f>
        <v>300 Mbps</v>
      </c>
      <c r="J80" t="str">
        <f>IFERROR(VLOOKUP($E80,'Planes y paquetes'!$C$384:$P$423,14,FALSE),"")</f>
        <v>50 Mbps</v>
      </c>
      <c r="L80" s="509">
        <v>325.17724610052733</v>
      </c>
      <c r="M80" s="402">
        <f t="shared" si="5"/>
        <v>222.85453097390052</v>
      </c>
      <c r="N80" s="404"/>
    </row>
    <row r="81" spans="1:19" ht="12">
      <c r="D81" s="95">
        <v>7</v>
      </c>
      <c r="E81" s="255" t="s">
        <v>185</v>
      </c>
      <c r="F81" s="337" t="str">
        <f>VLOOKUP($E81,'Planes y paquetes'!$C$96:$H$136,F$73,FALSE)</f>
        <v>Renta Mensual</v>
      </c>
      <c r="G81" s="396">
        <f>VLOOKUP($E81,'Planes y paquetes'!$C$96:$H$136,G$73,FALSE)</f>
        <v>775</v>
      </c>
      <c r="H81" s="397">
        <f t="shared" si="4"/>
        <v>743.84235359422712</v>
      </c>
      <c r="I81" t="str">
        <f>IFERROR(VLOOKUP($E81,'Planes y paquetes'!$C$384:$P$423,13,FALSE),"")</f>
        <v>750 Mbps</v>
      </c>
      <c r="J81" t="str">
        <f>IFERROR(VLOOKUP($E81,'Planes y paquetes'!$C$384:$P$423,14,FALSE),"")</f>
        <v>300 Mbps</v>
      </c>
      <c r="L81" s="509">
        <v>539.56067670672849</v>
      </c>
      <c r="M81" s="402">
        <f t="shared" si="5"/>
        <v>515.9915370035651</v>
      </c>
      <c r="N81" s="404"/>
    </row>
    <row r="82" spans="1:19" ht="12">
      <c r="D82" s="95">
        <v>8</v>
      </c>
      <c r="E82" s="126" t="s">
        <v>188</v>
      </c>
      <c r="F82" s="337" t="str">
        <f>VLOOKUP($E82,'Planes y paquetes'!$C$96:$H$136,F$73,FALSE)</f>
        <v>Renta Mensual</v>
      </c>
      <c r="G82" s="396">
        <f>VLOOKUP($E82,'Planes y paquetes'!$C$96:$H$136,G$73,FALSE)</f>
        <v>257.76</v>
      </c>
      <c r="H82" s="397">
        <f t="shared" si="4"/>
        <v>263</v>
      </c>
      <c r="I82" t="str">
        <f>IFERROR(VLOOKUP($E82,'Planes y paquetes'!$C$384:$P$423,13,FALSE),"")</f>
        <v>40 Mbps</v>
      </c>
      <c r="J82" t="str">
        <f>IFERROR(VLOOKUP($E82,'Planes y paquetes'!$C$384:$P$423,14,FALSE),"")</f>
        <v>5 Mbps</v>
      </c>
      <c r="L82" s="509">
        <v>183.27703825704623</v>
      </c>
      <c r="M82" s="402">
        <f t="shared" si="5"/>
        <v>182.43889121963923</v>
      </c>
      <c r="N82" s="404"/>
    </row>
    <row r="83" spans="1:19" ht="12">
      <c r="D83" s="95">
        <v>9</v>
      </c>
      <c r="E83" s="255" t="s">
        <v>190</v>
      </c>
      <c r="F83" s="337" t="str">
        <f>VLOOKUP($E83,'Planes y paquetes'!$C$96:$H$136,F$73,FALSE)</f>
        <v>Renta Mensual</v>
      </c>
      <c r="G83" s="396">
        <f>VLOOKUP($E83,'Planes y paquetes'!$C$96:$H$136,G$73,FALSE)</f>
        <v>300.86</v>
      </c>
      <c r="H83" s="397">
        <f t="shared" si="4"/>
        <v>322</v>
      </c>
      <c r="I83" t="str">
        <f>IFERROR(VLOOKUP($E83,'Planes y paquetes'!$C$384:$P$423,13,FALSE),"")</f>
        <v>60 Mbps</v>
      </c>
      <c r="J83" t="str">
        <f>IFERROR(VLOOKUP($E83,'Planes y paquetes'!$C$384:$P$423,14,FALSE),"")</f>
        <v>10 Mbps</v>
      </c>
      <c r="L83" s="509">
        <v>213.92275655654458</v>
      </c>
      <c r="M83" s="402">
        <f t="shared" si="5"/>
        <v>223.36624704457731</v>
      </c>
      <c r="N83" s="404"/>
    </row>
    <row r="84" spans="1:19" ht="12">
      <c r="D84" s="95">
        <v>10</v>
      </c>
      <c r="E84" s="255" t="s">
        <v>192</v>
      </c>
      <c r="F84" s="337" t="str">
        <f>VLOOKUP($E84,'Planes y paquetes'!$C$96:$H$136,F$73,FALSE)</f>
        <v>Renta Mensual</v>
      </c>
      <c r="G84" s="396">
        <f>VLOOKUP($E84,'Planes y paquetes'!$C$96:$H$136,G$73,FALSE)</f>
        <v>343.97</v>
      </c>
      <c r="H84" s="397">
        <f t="shared" si="4"/>
        <v>404</v>
      </c>
      <c r="I84" t="str">
        <f>IFERROR(VLOOKUP($E84,'Planes y paquetes'!$C$384:$P$423,13,FALSE),"")</f>
        <v>80 Mbps</v>
      </c>
      <c r="J84" t="str">
        <f>IFERROR(VLOOKUP($E84,'Planes y paquetes'!$C$384:$P$423,14,FALSE),"")</f>
        <v>20 Mbps</v>
      </c>
      <c r="L84" s="509">
        <v>244.57558523151846</v>
      </c>
      <c r="M84" s="402">
        <f t="shared" si="5"/>
        <v>280.24833480127091</v>
      </c>
      <c r="N84" s="404"/>
    </row>
    <row r="85" spans="1:19" ht="12">
      <c r="D85" s="95">
        <v>11</v>
      </c>
      <c r="E85" s="255" t="s">
        <v>193</v>
      </c>
      <c r="F85" s="337" t="str">
        <f>VLOOKUP($E85,'Planes y paquetes'!$C$96:$H$136,F$73,FALSE)</f>
        <v>Renta Mensual</v>
      </c>
      <c r="G85" s="396">
        <f>VLOOKUP($E85,'Planes y paquetes'!$C$96:$H$136,G$73,FALSE)</f>
        <v>387.07</v>
      </c>
      <c r="H85" s="397">
        <f t="shared" si="4"/>
        <v>344</v>
      </c>
      <c r="I85" t="str">
        <f>IFERROR(VLOOKUP($E85,'Planes y paquetes'!$C$384:$P$423,13,FALSE),"")</f>
        <v>100 Mbps</v>
      </c>
      <c r="J85" t="str">
        <f>IFERROR(VLOOKUP($E85,'Planes y paquetes'!$C$384:$P$423,14,FALSE),"")</f>
        <v>20 Mbps</v>
      </c>
      <c r="L85" s="509">
        <v>275.22130353101682</v>
      </c>
      <c r="M85" s="402">
        <f t="shared" si="5"/>
        <v>238.62729497929999</v>
      </c>
      <c r="N85" s="404"/>
    </row>
    <row r="86" spans="1:19" ht="12">
      <c r="D86" s="95">
        <v>12</v>
      </c>
      <c r="E86" s="255" t="s">
        <v>194</v>
      </c>
      <c r="F86" s="337" t="str">
        <f>VLOOKUP($E86,'Planes y paquetes'!$C$96:$H$136,F$73,FALSE)</f>
        <v>Renta Mensual</v>
      </c>
      <c r="G86" s="396">
        <f>VLOOKUP($E86,'Planes y paquetes'!$C$96:$H$136,G$73,FALSE)</f>
        <v>473.28</v>
      </c>
      <c r="H86" s="397">
        <f t="shared" si="4"/>
        <v>389</v>
      </c>
      <c r="I86" t="str">
        <f>IFERROR(VLOOKUP($E86,'Planes y paquetes'!$C$384:$P$423,13,FALSE),"")</f>
        <v>200 Mbps</v>
      </c>
      <c r="J86" t="str">
        <f>IFERROR(VLOOKUP($E86,'Planes y paquetes'!$C$384:$P$423,14,FALSE),"")</f>
        <v>50 Mbps</v>
      </c>
      <c r="L86" s="509">
        <v>336.51985050548899</v>
      </c>
      <c r="M86" s="402">
        <f>H86*(1-Retail.minus.int.retail.minus.items.only)</f>
        <v>269.84307484577818</v>
      </c>
      <c r="N86" s="404"/>
    </row>
    <row r="87" spans="1:19" ht="12">
      <c r="D87" s="95">
        <v>13</v>
      </c>
      <c r="E87" s="255" t="s">
        <v>196</v>
      </c>
      <c r="F87" s="337" t="str">
        <f>VLOOKUP($E87,'Planes y paquetes'!$C$96:$H$136,F$73,FALSE)</f>
        <v>Renta Mensual</v>
      </c>
      <c r="G87" s="396">
        <f>VLOOKUP($E87,'Planes y paquetes'!$C$96:$H$136,G$73,FALSE)</f>
        <v>775</v>
      </c>
      <c r="H87" s="397">
        <f t="shared" si="4"/>
        <v>774</v>
      </c>
      <c r="I87" t="str">
        <f>IFERROR(VLOOKUP($E87,'Planes y paquetes'!$C$384:$P$423,13,FALSE),"")</f>
        <v>750 Mbps</v>
      </c>
      <c r="J87" t="str">
        <f>IFERROR(VLOOKUP($E87,'Planes y paquetes'!$C$384:$P$423,14,FALSE),"")</f>
        <v>300 Mbps</v>
      </c>
      <c r="L87" s="509">
        <v>551.05409935292846</v>
      </c>
      <c r="M87" s="402">
        <f>H87*(1-Retail.minus.int.retail.minus.items.only)</f>
        <v>536.91141370342496</v>
      </c>
      <c r="N87" s="404"/>
    </row>
    <row r="88" spans="1:19" ht="12"/>
    <row r="89" spans="1:19" ht="12">
      <c r="N89" s="190"/>
    </row>
    <row r="90" spans="1:19" ht="12">
      <c r="A90" s="94">
        <v>3</v>
      </c>
      <c r="B90" s="94" t="s">
        <v>737</v>
      </c>
      <c r="C90" s="73"/>
      <c r="D90" s="73"/>
      <c r="E90" s="73"/>
      <c r="F90" s="73"/>
      <c r="G90" s="73"/>
      <c r="H90" s="73"/>
      <c r="I90" s="73"/>
      <c r="J90" s="73"/>
      <c r="K90" s="73"/>
      <c r="L90" s="73"/>
      <c r="M90" s="73"/>
      <c r="N90" s="73"/>
      <c r="O90" s="73"/>
      <c r="P90" s="73"/>
      <c r="Q90" s="73"/>
      <c r="R90" s="73"/>
      <c r="S90" s="73"/>
    </row>
    <row r="91" spans="1:19" ht="12"/>
    <row r="92" spans="1:19" ht="12"/>
    <row r="93" spans="1:19" ht="12">
      <c r="B93" s="518" t="s">
        <v>678</v>
      </c>
      <c r="C93" s="518"/>
    </row>
    <row r="94" spans="1:19" ht="24">
      <c r="B94" s="393" t="s">
        <v>679</v>
      </c>
      <c r="C94" s="394" t="s">
        <v>680</v>
      </c>
    </row>
    <row r="95" spans="1:19" ht="12">
      <c r="B95" s="508">
        <v>0.28896245244783431</v>
      </c>
      <c r="C95" s="381">
        <f ca="1">INDIRECT(D95)</f>
        <v>0.30631600296715117</v>
      </c>
      <c r="D95" s="79" t="s">
        <v>676</v>
      </c>
    </row>
    <row r="96" spans="1:19" ht="12"/>
    <row r="97" spans="1:19" ht="12">
      <c r="B97" s="508">
        <v>9.9361759899494057E-2</v>
      </c>
      <c r="C97" s="381">
        <f ca="1">INDIRECT(D97)</f>
        <v>9.7401378073954215E-2</v>
      </c>
      <c r="D97" s="79" t="s">
        <v>660</v>
      </c>
    </row>
    <row r="98" spans="1:19" ht="12"/>
    <row r="99" spans="1:19" ht="12">
      <c r="B99" s="508">
        <v>8.8652037136628892E-2</v>
      </c>
      <c r="C99" s="381">
        <f ca="1">INDIRECT(D99)</f>
        <v>8.8223215421594448E-2</v>
      </c>
      <c r="D99" s="79" t="s">
        <v>661</v>
      </c>
      <c r="L99" s="228"/>
    </row>
    <row r="100" spans="1:19" ht="12"/>
    <row r="101" spans="1:19" ht="12">
      <c r="O101" s="385"/>
    </row>
    <row r="102" spans="1:19" ht="12">
      <c r="E102" s="96" t="s">
        <v>734</v>
      </c>
      <c r="L102" s="518" t="s">
        <v>678</v>
      </c>
      <c r="M102" s="518"/>
    </row>
    <row r="103" spans="1:19" ht="12">
      <c r="F103" s="95">
        <v>4</v>
      </c>
      <c r="G103" s="95">
        <v>4</v>
      </c>
      <c r="H103" s="405" t="s">
        <v>738</v>
      </c>
      <c r="I103" s="70"/>
      <c r="J103" s="70"/>
      <c r="K103" s="70"/>
      <c r="L103" s="393" t="s">
        <v>679</v>
      </c>
      <c r="M103" s="394" t="s">
        <v>680</v>
      </c>
      <c r="R103">
        <v>13</v>
      </c>
      <c r="S103">
        <v>14</v>
      </c>
    </row>
    <row r="104" spans="1:19" ht="66" customHeight="1">
      <c r="E104" s="40" t="s">
        <v>317</v>
      </c>
      <c r="F104" s="40" t="s">
        <v>213</v>
      </c>
      <c r="G104" s="40" t="str">
        <f>"Precio minorista "&amp;Year.selected
&amp;" Sin impuestos"</f>
        <v>Precio minorista 2024 Sin impuestos</v>
      </c>
      <c r="H104" s="394" t="s">
        <v>176</v>
      </c>
      <c r="I104" s="394" t="s">
        <v>608</v>
      </c>
      <c r="J104" s="394" t="s">
        <v>609</v>
      </c>
      <c r="K104" s="406" t="s">
        <v>739</v>
      </c>
      <c r="L104" s="40" t="s">
        <v>682</v>
      </c>
      <c r="M104" s="40" t="s">
        <v>682</v>
      </c>
      <c r="N104" s="40" t="s">
        <v>223</v>
      </c>
      <c r="O104" s="40"/>
      <c r="P104" s="40" t="s">
        <v>740</v>
      </c>
      <c r="Q104" s="40" t="s">
        <v>741</v>
      </c>
      <c r="R104" s="40" t="s">
        <v>735</v>
      </c>
      <c r="S104" s="40" t="s">
        <v>736</v>
      </c>
    </row>
    <row r="105" spans="1:19" ht="14.25">
      <c r="A105" s="407"/>
      <c r="B105" s="408"/>
      <c r="D105" s="95">
        <v>1</v>
      </c>
      <c r="E105" s="255" t="s">
        <v>166</v>
      </c>
      <c r="F105" s="337" t="str">
        <f>VLOOKUP($E105,'Planes y paquetes'!$C$96:$H$136,F$73,FALSE)</f>
        <v>Renta Mensual</v>
      </c>
      <c r="G105" s="396">
        <f>VLOOKUP($E105,'Planes y paquetes'!$C$384:$P$423,G$103,FALSE)</f>
        <v>210.24</v>
      </c>
      <c r="H105" s="397">
        <f t="shared" ref="H105:H122" si="6">INDEX(vector.implicit.prices.broadband.after.discount,MATCH(E105,vector.plans.names,0))</f>
        <v>68</v>
      </c>
      <c r="I105" s="397">
        <f t="shared" ref="I105:I112" si="7">INDEX(vector.implicit.prices.line.rental.after.discount,MATCH($E105,vector.plans.names,0))</f>
        <v>156.55000000000001</v>
      </c>
      <c r="J105" s="397">
        <f t="shared" ref="J105:J112" si="8">INDEX(vector.implicit.prices.voice.after.discount,MATCH($E105,vector.plans.names,0))</f>
        <v>0</v>
      </c>
      <c r="K105" s="397">
        <f t="shared" ref="K105:K112" si="9">INDEX(vector.implicit.prices.digitalservices.after.discount,MATCH(E105,vector.plans.names,0))</f>
        <v>0</v>
      </c>
      <c r="L105" s="509">
        <v>179.17052241581001</v>
      </c>
      <c r="M105" s="409">
        <f t="shared" ref="M105:M112" si="10">H105*(1-Retail.minus.int.retail.minus.items.only)+I105*(1-Retail.minus.line.rental.retail.minus.items.only)+J105*(1-Retail.minus.additional.calls.retail.minus.items.only)+K105*(1-Retail.minus.additional.calls.retail.minus.items.only)</f>
        <v>188.47232606075619</v>
      </c>
      <c r="N105" s="410">
        <f>1-M105/G105</f>
        <v>0.10353726188757528</v>
      </c>
      <c r="O105" s="301"/>
      <c r="P105" s="410">
        <f t="shared" ref="P105:P122" si="11">Q105/SUM($Q$105:$Q$122)</f>
        <v>2.4020885571832244E-2</v>
      </c>
      <c r="Q105" s="411">
        <f>VLOOKUP(E105,Mercado!$E$62:$O$95,11,0)</f>
        <v>204939.02717152188</v>
      </c>
      <c r="R105" s="385" t="str">
        <f>VLOOKUP($E105,'Planes y paquetes'!$C$384:$P$423,R$103,FALSE)</f>
        <v>15 Mbps</v>
      </c>
      <c r="S105" s="385" t="str">
        <f>VLOOKUP($E105,'Planes y paquetes'!$C$384:$P$423,S$103,FALSE)</f>
        <v>.640 Mbps</v>
      </c>
    </row>
    <row r="106" spans="1:19" ht="14.25">
      <c r="A106" s="407"/>
      <c r="B106" s="408"/>
      <c r="D106" s="95">
        <v>2</v>
      </c>
      <c r="E106" s="255" t="s">
        <v>169</v>
      </c>
      <c r="F106" s="337" t="str">
        <f>VLOOKUP($E106,'Planes y paquetes'!$C$96:$H$136,F$73,FALSE)</f>
        <v>Renta Mensual</v>
      </c>
      <c r="G106" s="396">
        <f>VLOOKUP($E106,'Planes y paquetes'!$C$384:$P$423,G$103,FALSE)</f>
        <v>244.01</v>
      </c>
      <c r="H106" s="397">
        <f t="shared" si="6"/>
        <v>65</v>
      </c>
      <c r="I106" s="397">
        <f t="shared" si="7"/>
        <v>156.55000000000001</v>
      </c>
      <c r="J106" s="397">
        <f t="shared" si="8"/>
        <v>5</v>
      </c>
      <c r="K106" s="397">
        <f t="shared" si="9"/>
        <v>0</v>
      </c>
      <c r="L106" s="509">
        <v>204.14174728598732</v>
      </c>
      <c r="M106" s="409">
        <f t="shared" si="10"/>
        <v>190.95015799254966</v>
      </c>
      <c r="N106" s="410">
        <f t="shared" ref="N106:N122" si="12">1-M106/G106</f>
        <v>0.21744945702000051</v>
      </c>
      <c r="O106" s="301"/>
      <c r="P106" s="410">
        <f t="shared" si="11"/>
        <v>6.485728586455331E-3</v>
      </c>
      <c r="Q106" s="411">
        <f>VLOOKUP(E106,Mercado!$E$62:$O$95,11,0)</f>
        <v>55334.300770548121</v>
      </c>
      <c r="R106" s="385" t="str">
        <f>VLOOKUP($E106,'Planes y paquetes'!$C$384:$P$423,R$103,FALSE)</f>
        <v>15 Mbps</v>
      </c>
      <c r="S106" s="385" t="str">
        <f>VLOOKUP($E106,'Planes y paquetes'!$C$384:$P$423,S$103,FALSE)</f>
        <v>.640 Mbps</v>
      </c>
    </row>
    <row r="107" spans="1:19" ht="14.25">
      <c r="A107" s="407"/>
      <c r="B107" s="408"/>
      <c r="D107" s="95">
        <v>3</v>
      </c>
      <c r="E107" s="255" t="s">
        <v>173</v>
      </c>
      <c r="F107" s="337" t="str">
        <f>VLOOKUP($E107,'Planes y paquetes'!$C$96:$H$136,F$73,FALSE)</f>
        <v>Renta Mensual</v>
      </c>
      <c r="G107" s="396">
        <f>VLOOKUP($E107,'Planes y paquetes'!$C$384:$P$423,G$103,FALSE)</f>
        <v>281.16000000000003</v>
      </c>
      <c r="H107" s="397">
        <f t="shared" si="6"/>
        <v>87</v>
      </c>
      <c r="I107" s="397">
        <f t="shared" si="7"/>
        <v>156.55000000000001</v>
      </c>
      <c r="J107" s="397">
        <f t="shared" si="8"/>
        <v>7</v>
      </c>
      <c r="K107" s="397">
        <f t="shared" si="9"/>
        <v>0</v>
      </c>
      <c r="L107" s="509">
        <v>231.0575682158283</v>
      </c>
      <c r="M107" s="409">
        <f t="shared" si="10"/>
        <v>208.03475949642916</v>
      </c>
      <c r="N107" s="410">
        <f t="shared" si="12"/>
        <v>0.26008408203005706</v>
      </c>
      <c r="O107" s="301"/>
      <c r="P107" s="410">
        <f t="shared" si="11"/>
        <v>5.7351117625201193E-3</v>
      </c>
      <c r="Q107" s="411">
        <f>VLOOKUP(E107,Mercado!$E$62:$O$95,11,0)</f>
        <v>48930.262034513878</v>
      </c>
      <c r="R107" s="385" t="str">
        <f>VLOOKUP($E107,'Planes y paquetes'!$C$384:$P$423,R$103,FALSE)</f>
        <v>15 Mbps</v>
      </c>
      <c r="S107" s="385" t="str">
        <f>VLOOKUP($E107,'Planes y paquetes'!$C$384:$P$423,S$103,FALSE)</f>
        <v>.640 Mbps</v>
      </c>
    </row>
    <row r="108" spans="1:19" ht="14.25">
      <c r="A108" s="407"/>
      <c r="B108" s="408"/>
      <c r="D108" s="95">
        <v>4</v>
      </c>
      <c r="E108" s="255" t="s">
        <v>177</v>
      </c>
      <c r="F108" s="337" t="str">
        <f>VLOOKUP($E108,'Planes y paquetes'!$C$96:$H$136,F$73,FALSE)</f>
        <v>Renta Mensual</v>
      </c>
      <c r="G108" s="396">
        <f>VLOOKUP($E108,'Planes y paquetes'!$C$384:$P$423,G$103,FALSE)</f>
        <v>328.44</v>
      </c>
      <c r="H108" s="397">
        <f t="shared" si="6"/>
        <v>82.892382471329839</v>
      </c>
      <c r="I108" s="397">
        <f t="shared" si="7"/>
        <v>110.77514619883041</v>
      </c>
      <c r="J108" s="397">
        <f t="shared" si="8"/>
        <v>21.935672514619885</v>
      </c>
      <c r="K108" s="397">
        <f t="shared" si="9"/>
        <v>54.83918128654971</v>
      </c>
      <c r="L108" s="509">
        <v>260.43045102040742</v>
      </c>
      <c r="M108" s="409">
        <f t="shared" si="10"/>
        <v>227.48814283431591</v>
      </c>
      <c r="N108" s="410">
        <f t="shared" si="12"/>
        <v>0.30736772977007698</v>
      </c>
      <c r="O108" s="301"/>
      <c r="P108" s="410">
        <f t="shared" si="11"/>
        <v>0.66562928660656617</v>
      </c>
      <c r="Q108" s="411">
        <f>VLOOKUP(E108,Mercado!$E$62:$O$95,11,0)</f>
        <v>5678950.4302866785</v>
      </c>
      <c r="R108" s="385" t="str">
        <f>VLOOKUP($E108,'Planes y paquetes'!$C$384:$P$423,R$103,FALSE)</f>
        <v>60 Mbps</v>
      </c>
      <c r="S108" s="385" t="str">
        <f>VLOOKUP($E108,'Planes y paquetes'!$C$384:$P$423,S$103,FALSE)</f>
        <v>10 Mbps</v>
      </c>
    </row>
    <row r="109" spans="1:19" ht="14.25">
      <c r="A109" s="407"/>
      <c r="B109" s="408"/>
      <c r="D109" s="95">
        <v>5</v>
      </c>
      <c r="E109" s="255" t="s">
        <v>180</v>
      </c>
      <c r="F109" s="337" t="str">
        <f>VLOOKUP($E109,'Planes y paquetes'!$C$96:$H$136,F$73,FALSE)</f>
        <v>Renta Mensual</v>
      </c>
      <c r="G109" s="396">
        <f>VLOOKUP($E109,'Planes y paquetes'!$C$384:$P$423,G$103,FALSE)</f>
        <v>367.29</v>
      </c>
      <c r="H109" s="397">
        <f t="shared" si="6"/>
        <v>146.026710698849</v>
      </c>
      <c r="I109" s="397">
        <f t="shared" si="7"/>
        <v>111.62267172745788</v>
      </c>
      <c r="J109" s="397">
        <f t="shared" si="8"/>
        <v>25.668579892612481</v>
      </c>
      <c r="K109" s="397">
        <f t="shared" si="9"/>
        <v>55.258748379929642</v>
      </c>
      <c r="L109" s="509">
        <v>287.79611112844702</v>
      </c>
      <c r="M109" s="409">
        <f t="shared" si="10"/>
        <v>275.83452118490345</v>
      </c>
      <c r="N109" s="410">
        <f t="shared" si="12"/>
        <v>0.2490007318878722</v>
      </c>
      <c r="O109" s="301"/>
      <c r="P109" s="410">
        <f t="shared" si="11"/>
        <v>2.879957177097962E-2</v>
      </c>
      <c r="Q109" s="411">
        <f>VLOOKUP(E109,Mercado!$E$62:$O$95,11,0)</f>
        <v>245709.35172440385</v>
      </c>
      <c r="R109" s="385" t="str">
        <f>VLOOKUP($E109,'Planes y paquetes'!$C$384:$P$423,R$103,FALSE)</f>
        <v>80 Mbps</v>
      </c>
      <c r="S109" s="385" t="str">
        <f>VLOOKUP($E109,'Planes y paquetes'!$C$384:$P$423,S$103,FALSE)</f>
        <v>20 Mbps</v>
      </c>
    </row>
    <row r="110" spans="1:19" ht="14.25">
      <c r="A110" s="407"/>
      <c r="B110" s="408"/>
      <c r="D110" s="95">
        <v>6</v>
      </c>
      <c r="E110" s="255" t="s">
        <v>182</v>
      </c>
      <c r="F110" s="337" t="str">
        <f>VLOOKUP($E110,'Planes y paquetes'!$C$96:$H$136,F$73,FALSE)</f>
        <v>Renta Mensual</v>
      </c>
      <c r="G110" s="396">
        <f>VLOOKUP($E110,'Planes y paquetes'!$C$384:$P$423,G$103,FALSE)</f>
        <v>421.32</v>
      </c>
      <c r="H110" s="397">
        <f t="shared" si="6"/>
        <v>205.6388515843345</v>
      </c>
      <c r="I110" s="397">
        <f t="shared" si="7"/>
        <v>112.4393837484094</v>
      </c>
      <c r="J110" s="397">
        <f t="shared" si="8"/>
        <v>29.447554990001819</v>
      </c>
      <c r="K110" s="397">
        <f t="shared" si="9"/>
        <v>55.663061261588801</v>
      </c>
      <c r="L110" s="509">
        <v>325.99037523985328</v>
      </c>
      <c r="M110" s="409">
        <f t="shared" si="10"/>
        <v>321.73789735315597</v>
      </c>
      <c r="N110" s="410">
        <f t="shared" si="12"/>
        <v>0.23635740683291562</v>
      </c>
      <c r="O110" s="301"/>
      <c r="P110" s="410">
        <f t="shared" si="11"/>
        <v>3.2969550516695811E-2</v>
      </c>
      <c r="Q110" s="411">
        <f>VLOOKUP(E110,Mercado!$E$62:$O$95,11,0)</f>
        <v>281286.36594052933</v>
      </c>
      <c r="R110" s="385" t="str">
        <f>VLOOKUP($E110,'Planes y paquetes'!$C$384:$P$423,R$103,FALSE)</f>
        <v>100 Mbps</v>
      </c>
      <c r="S110" s="385" t="str">
        <f>VLOOKUP($E110,'Planes y paquetes'!$C$384:$P$423,S$103,FALSE)</f>
        <v>10 Mbps</v>
      </c>
    </row>
    <row r="111" spans="1:19" ht="14.25">
      <c r="A111" s="407"/>
      <c r="B111" s="408"/>
      <c r="D111" s="95">
        <v>7</v>
      </c>
      <c r="E111" s="255" t="s">
        <v>184</v>
      </c>
      <c r="F111" s="337" t="str">
        <f>VLOOKUP($E111,'Planes y paquetes'!$C$96:$H$136,F$73,FALSE)</f>
        <v>Renta Mensual</v>
      </c>
      <c r="G111" s="396">
        <f>VLOOKUP($E111,'Planes y paquetes'!$C$384:$P$423,G$103,FALSE)</f>
        <v>505.76</v>
      </c>
      <c r="H111" s="397">
        <f t="shared" si="6"/>
        <v>348.2076168467795</v>
      </c>
      <c r="I111" s="397">
        <f t="shared" si="7"/>
        <v>113.38107987902511</v>
      </c>
      <c r="J111" s="397">
        <f t="shared" si="8"/>
        <v>34.039672656111016</v>
      </c>
      <c r="K111" s="397">
        <f t="shared" si="9"/>
        <v>56.129247464863909</v>
      </c>
      <c r="L111" s="509">
        <v>387.82038880473596</v>
      </c>
      <c r="M111" s="409">
        <f t="shared" si="10"/>
        <v>426.09758595966133</v>
      </c>
      <c r="N111" s="410">
        <f t="shared" si="12"/>
        <v>0.15751030931734156</v>
      </c>
      <c r="O111" s="301"/>
      <c r="P111" s="410">
        <f t="shared" si="11"/>
        <v>5.018257208382268E-2</v>
      </c>
      <c r="Q111" s="411">
        <f>VLOOKUP(E111,Mercado!$E$62:$O$95,11,0)</f>
        <v>428142.72908752417</v>
      </c>
      <c r="R111" s="385" t="str">
        <f>VLOOKUP($E111,'Planes y paquetes'!$C$384:$P$423,R$103,FALSE)</f>
        <v>200 Mbps</v>
      </c>
      <c r="S111" s="385" t="str">
        <f>VLOOKUP($E111,'Planes y paquetes'!$C$384:$P$423,S$103,FALSE)</f>
        <v>50 Mbps</v>
      </c>
    </row>
    <row r="112" spans="1:19" ht="14.25">
      <c r="A112" s="407"/>
      <c r="B112" s="408"/>
      <c r="D112" s="95">
        <v>8</v>
      </c>
      <c r="E112" s="255" t="s">
        <v>187</v>
      </c>
      <c r="F112" s="337" t="str">
        <f>VLOOKUP($E112,'Planes y paquetes'!$C$96:$H$136,F$73,FALSE)</f>
        <v>Renta Mensual</v>
      </c>
      <c r="G112" s="396">
        <f>VLOOKUP($E112,'Planes y paquetes'!$C$384:$P$423,G$103,FALSE)</f>
        <v>547.98</v>
      </c>
      <c r="H112" s="397">
        <f t="shared" si="6"/>
        <v>263.41363517022086</v>
      </c>
      <c r="I112" s="397">
        <f t="shared" si="7"/>
        <v>112.91531199424566</v>
      </c>
      <c r="J112" s="397">
        <f t="shared" si="8"/>
        <v>31.736018701672364</v>
      </c>
      <c r="K112" s="397">
        <f t="shared" si="9"/>
        <v>55.898669304082006</v>
      </c>
      <c r="L112" s="509">
        <v>417.76973821330671</v>
      </c>
      <c r="M112" s="409">
        <f t="shared" si="10"/>
        <v>364.54630236560547</v>
      </c>
      <c r="N112" s="410">
        <f t="shared" si="12"/>
        <v>0.33474524185991195</v>
      </c>
      <c r="O112" s="301"/>
      <c r="P112" s="410">
        <f t="shared" si="11"/>
        <v>2.3428124280486799E-2</v>
      </c>
      <c r="Q112" s="411">
        <f>VLOOKUP(E112,Mercado!$E$62:$O$95,11,0)</f>
        <v>199881.76473088469</v>
      </c>
      <c r="R112" s="385" t="str">
        <f>VLOOKUP($E112,'Planes y paquetes'!$C$384:$P$423,R$103,FALSE)</f>
        <v>300 Mbps</v>
      </c>
      <c r="S112" s="385" t="str">
        <f>VLOOKUP($E112,'Planes y paquetes'!$C$384:$P$423,S$103,FALSE)</f>
        <v>50 Mbps</v>
      </c>
    </row>
    <row r="113" spans="1:19" ht="14.25">
      <c r="A113" s="407"/>
      <c r="B113" s="408"/>
      <c r="D113" s="95">
        <v>9</v>
      </c>
      <c r="E113" s="255" t="s">
        <v>189</v>
      </c>
      <c r="F113" s="337" t="str">
        <f>VLOOKUP($E113,'Planes y paquetes'!$C$96:$H$136,F$73,FALSE)</f>
        <v>Renta Mensual</v>
      </c>
      <c r="G113" s="396">
        <f>VLOOKUP($E113,'Planes y paquetes'!$C$384:$P$423,G$103,FALSE)</f>
        <v>843.5</v>
      </c>
      <c r="H113" s="397">
        <f t="shared" si="6"/>
        <v>650.89010808833734</v>
      </c>
      <c r="I113" s="397">
        <f t="shared" ref="I113:I118" si="13">INDEX(vector.implicit.prices.line.rental.after.discount,MATCH($E113,vector.plans.names,0))</f>
        <v>111.45568667533917</v>
      </c>
      <c r="J113" s="397">
        <f t="shared" ref="J113:J118" si="14">INDEX(vector.implicit.prices.voice.after.discount,MATCH($E113,vector.plans.names,0))</f>
        <v>24.918230812116708</v>
      </c>
      <c r="K113" s="397">
        <f t="shared" ref="K113:K118" si="15">INDEX(vector.implicit.prices.digitalservices.after.discount,MATCH(E113,vector.plans.names,0))</f>
        <v>55.176082512544141</v>
      </c>
      <c r="L113" s="509">
        <v>625.22700629983888</v>
      </c>
      <c r="M113" s="409">
        <f t="shared" ref="M113:M118" si="16">H113*(1-Retail.minus.int.retail.minus.items.only)+I113*(1-Retail.minus.line.rental.retail.minus.items.only)+J113*(1-Retail.minus.additional.calls.retail.minus.items.only)+K113*(1-Retail.minus.additional.calls.retail.minus.items.only)</f>
        <v>625.13993647301766</v>
      </c>
      <c r="N113" s="410">
        <f t="shared" si="12"/>
        <v>0.25887381568106971</v>
      </c>
      <c r="O113" s="301"/>
      <c r="P113" s="410">
        <f t="shared" si="11"/>
        <v>7.7219576701670605E-3</v>
      </c>
      <c r="Q113" s="411">
        <f>VLOOKUP(E113,Mercado!$E$62:$O$95,11,0)</f>
        <v>65881.438386245063</v>
      </c>
      <c r="R113" s="385" t="str">
        <f>VLOOKUP($E113,'Planes y paquetes'!$C$384:$P$423,R$103,FALSE)</f>
        <v>750 Mbps</v>
      </c>
      <c r="S113" s="385" t="str">
        <f>VLOOKUP($E113,'Planes y paquetes'!$C$384:$P$423,S$103,FALSE)</f>
        <v>300 Mbps</v>
      </c>
    </row>
    <row r="114" spans="1:19" ht="14.25">
      <c r="A114" s="407"/>
      <c r="B114" s="408"/>
      <c r="D114" s="95">
        <v>10</v>
      </c>
      <c r="E114" s="255" t="s">
        <v>191</v>
      </c>
      <c r="F114" s="337" t="str">
        <f>VLOOKUP($E114,'Planes y paquetes'!$C$96:$H$136,F$73,FALSE)</f>
        <v>Renta Mensual</v>
      </c>
      <c r="G114" s="396">
        <f>VLOOKUP($E114,'Planes y paquetes'!$C$384:$P$423,G$103,FALSE)</f>
        <v>1181.23</v>
      </c>
      <c r="H114" s="397">
        <f t="shared" si="6"/>
        <v>1116.7284671861291</v>
      </c>
      <c r="I114" s="397">
        <f t="shared" si="13"/>
        <v>108.41421344971236</v>
      </c>
      <c r="J114" s="397">
        <f t="shared" si="14"/>
        <v>12.465383852410236</v>
      </c>
      <c r="K114" s="397">
        <f t="shared" si="15"/>
        <v>53.6704026978774</v>
      </c>
      <c r="L114" s="509">
        <v>861.91102370544957</v>
      </c>
      <c r="M114" s="409">
        <f t="shared" si="16"/>
        <v>932.81226118133213</v>
      </c>
      <c r="N114" s="410">
        <f t="shared" si="12"/>
        <v>0.21030429198265188</v>
      </c>
      <c r="O114" s="301"/>
      <c r="P114" s="410">
        <f t="shared" si="11"/>
        <v>1.829219816238264E-3</v>
      </c>
      <c r="Q114" s="411">
        <f>VLOOKUP(E114,Mercado!$E$62:$O$95,11,0)</f>
        <v>15606.357580019278</v>
      </c>
      <c r="R114" s="385" t="str">
        <f>VLOOKUP($E114,'Planes y paquetes'!$C$384:$P$423,R$103,FALSE)</f>
        <v>1000 Mbps</v>
      </c>
      <c r="S114" s="385" t="str">
        <f>VLOOKUP($E114,'Planes y paquetes'!$C$384:$P$423,S$103,FALSE)</f>
        <v>300 Mbps</v>
      </c>
    </row>
    <row r="115" spans="1:19" ht="14.25">
      <c r="A115" s="407"/>
      <c r="B115" s="408"/>
      <c r="D115" s="95">
        <v>11</v>
      </c>
      <c r="E115" s="255" t="s">
        <v>195</v>
      </c>
      <c r="F115" s="337" t="str">
        <f>VLOOKUP($E115,'Planes y paquetes'!$C$96:$H$136,F$73,FALSE)</f>
        <v>Renta Mensual</v>
      </c>
      <c r="G115" s="396">
        <f>VLOOKUP($E115,'Planes y paquetes'!$C$384:$P$423,G$103,FALSE)</f>
        <v>336.9</v>
      </c>
      <c r="H115" s="397">
        <f t="shared" si="6"/>
        <v>120</v>
      </c>
      <c r="I115" s="397">
        <f t="shared" si="13"/>
        <v>147.71428571428572</v>
      </c>
      <c r="J115" s="397">
        <f t="shared" si="14"/>
        <v>27.603174603174605</v>
      </c>
      <c r="K115" s="397">
        <f t="shared" si="15"/>
        <v>59.682539682539684</v>
      </c>
      <c r="L115" s="509">
        <v>283.50069675776518</v>
      </c>
      <c r="M115" s="409">
        <f t="shared" si="16"/>
        <v>296.15387827950428</v>
      </c>
      <c r="N115" s="410">
        <f t="shared" si="12"/>
        <v>0.1209442615627655</v>
      </c>
      <c r="O115" s="301"/>
      <c r="P115" s="410">
        <f t="shared" si="11"/>
        <v>7.3194719502993708E-2</v>
      </c>
      <c r="Q115" s="411">
        <f>VLOOKUP(E115,Mercado!$E$62:$O$95,11,0)</f>
        <v>624475.50337719533</v>
      </c>
      <c r="R115" s="385" t="str">
        <f>VLOOKUP($E115,'Planes y paquetes'!$C$384:$P$423,R$103,FALSE)</f>
        <v>60 Mbps</v>
      </c>
      <c r="S115" s="385" t="str">
        <f>VLOOKUP($E115,'Planes y paquetes'!$C$384:$P$423,S$103,FALSE)</f>
        <v>10 Mbps</v>
      </c>
    </row>
    <row r="116" spans="1:19" ht="14.25">
      <c r="A116" s="407"/>
      <c r="B116" s="408"/>
      <c r="D116" s="95">
        <v>12</v>
      </c>
      <c r="E116" s="255" t="s">
        <v>197</v>
      </c>
      <c r="F116" s="337" t="str">
        <f>VLOOKUP($E116,'Planes y paquetes'!$C$96:$H$136,F$73,FALSE)</f>
        <v>Renta Mensual</v>
      </c>
      <c r="G116" s="396">
        <f>VLOOKUP($E116,'Planes y paquetes'!$C$384:$P$423,G$103,FALSE)</f>
        <v>463.55</v>
      </c>
      <c r="H116" s="397">
        <f t="shared" si="6"/>
        <v>281</v>
      </c>
      <c r="I116" s="397">
        <f t="shared" si="13"/>
        <v>147.3929712460064</v>
      </c>
      <c r="J116" s="397">
        <f t="shared" si="14"/>
        <v>26.054313099041533</v>
      </c>
      <c r="K116" s="397">
        <f t="shared" si="15"/>
        <v>59.552715654952081</v>
      </c>
      <c r="L116" s="509">
        <v>375.25527996894851</v>
      </c>
      <c r="M116" s="409">
        <f t="shared" si="16"/>
        <v>406.01639730908857</v>
      </c>
      <c r="N116" s="410">
        <f t="shared" si="12"/>
        <v>0.12411520373403395</v>
      </c>
      <c r="O116" s="301"/>
      <c r="P116" s="410">
        <f t="shared" si="11"/>
        <v>5.2192017947806965E-2</v>
      </c>
      <c r="Q116" s="411">
        <f>VLOOKUP(E116,Mercado!$E$62:$O$95,11,0)</f>
        <v>445286.72152224462</v>
      </c>
      <c r="R116" s="385" t="str">
        <f>VLOOKUP($E116,'Planes y paquetes'!$C$384:$P$423,R$103,FALSE)</f>
        <v>100 Mbps</v>
      </c>
      <c r="S116" s="385" t="str">
        <f>VLOOKUP($E116,'Planes y paquetes'!$C$384:$P$423,S$103,FALSE)</f>
        <v>10 Mbps</v>
      </c>
    </row>
    <row r="117" spans="1:19" ht="14.25">
      <c r="A117" s="407"/>
      <c r="B117" s="408"/>
      <c r="D117" s="95">
        <v>13</v>
      </c>
      <c r="E117" s="255" t="s">
        <v>199</v>
      </c>
      <c r="F117" s="337" t="str">
        <f>VLOOKUP($E117,'Planes y paquetes'!$C$96:$H$136,F$73,FALSE)</f>
        <v>Renta Mensual</v>
      </c>
      <c r="G117" s="396">
        <f>VLOOKUP($E117,'Planes y paquetes'!$C$384:$P$423,G$103,FALSE)</f>
        <v>547.98</v>
      </c>
      <c r="H117" s="397">
        <f t="shared" si="6"/>
        <v>392</v>
      </c>
      <c r="I117" s="397">
        <f t="shared" si="13"/>
        <v>149.55963302752292</v>
      </c>
      <c r="J117" s="397">
        <f t="shared" si="14"/>
        <v>37.01223241590214</v>
      </c>
      <c r="K117" s="397">
        <f t="shared" si="15"/>
        <v>60.428134556574918</v>
      </c>
      <c r="L117" s="509">
        <v>436.89130165822479</v>
      </c>
      <c r="M117" s="409">
        <f t="shared" si="16"/>
        <v>495.76030998958902</v>
      </c>
      <c r="N117" s="410">
        <f t="shared" si="12"/>
        <v>9.5294883043926748E-2</v>
      </c>
      <c r="O117" s="301"/>
      <c r="P117" s="410">
        <f t="shared" si="11"/>
        <v>1.0912222572629893E-3</v>
      </c>
      <c r="Q117" s="411">
        <f>VLOOKUP(E117,Mercado!$E$62:$O$95,11,0)</f>
        <v>9309.9826466693848</v>
      </c>
      <c r="R117" s="385" t="str">
        <f>VLOOKUP($E117,'Planes y paquetes'!$C$384:$P$423,R$103,FALSE)</f>
        <v>200 Mbps</v>
      </c>
      <c r="S117" s="385" t="str">
        <f>VLOOKUP($E117,'Planes y paquetes'!$C$384:$P$423,S$103,FALSE)</f>
        <v>50 Mbps</v>
      </c>
    </row>
    <row r="118" spans="1:19" ht="14.25">
      <c r="A118" s="407"/>
      <c r="B118" s="408"/>
      <c r="D118" s="95">
        <v>14</v>
      </c>
      <c r="E118" s="255" t="s">
        <v>201</v>
      </c>
      <c r="F118" s="337" t="str">
        <f>VLOOKUP($E118,'Planes y paquetes'!$C$96:$H$136,F$73,FALSE)</f>
        <v>Renta Mensual</v>
      </c>
      <c r="G118" s="396">
        <f>VLOOKUP($E118,'Planes y paquetes'!$C$384:$P$423,G$103,FALSE)</f>
        <v>674.64</v>
      </c>
      <c r="H118" s="397">
        <f t="shared" si="6"/>
        <v>371</v>
      </c>
      <c r="I118" s="397">
        <f t="shared" si="13"/>
        <v>148.80745341614906</v>
      </c>
      <c r="J118" s="397">
        <f t="shared" si="14"/>
        <v>33.068322981366457</v>
      </c>
      <c r="K118" s="397">
        <f t="shared" si="15"/>
        <v>60.12422360248447</v>
      </c>
      <c r="L118" s="509">
        <v>527.07649619420727</v>
      </c>
      <c r="M118" s="409">
        <f t="shared" si="16"/>
        <v>476.6409657558242</v>
      </c>
      <c r="N118" s="410">
        <f t="shared" si="12"/>
        <v>0.29348842974649558</v>
      </c>
      <c r="O118" s="301"/>
      <c r="P118" s="410">
        <f t="shared" si="11"/>
        <v>2.6277669029031312E-2</v>
      </c>
      <c r="Q118" s="411">
        <f>VLOOKUP(E118,Mercado!$E$62:$O$95,11,0)</f>
        <v>224193.23013885578</v>
      </c>
      <c r="R118" s="385" t="str">
        <f>VLOOKUP($E118,'Planes y paquetes'!$C$384:$P$423,R$103,FALSE)</f>
        <v>300 Mbps</v>
      </c>
      <c r="S118" s="385" t="str">
        <f>VLOOKUP($E118,'Planes y paquetes'!$C$384:$P$423,S$103,FALSE)</f>
        <v>50 Mbps</v>
      </c>
    </row>
    <row r="119" spans="1:19" ht="14.25">
      <c r="A119" s="407"/>
      <c r="B119" s="408"/>
      <c r="D119" s="95">
        <v>15</v>
      </c>
      <c r="E119" s="255" t="s">
        <v>203</v>
      </c>
      <c r="F119" s="337" t="str">
        <f>VLOOKUP($E119,'Planes y paquetes'!$C$96:$H$136,F$73,FALSE)</f>
        <v>Renta Mensual</v>
      </c>
      <c r="G119" s="396">
        <f>VLOOKUP($E119,'Planes y paquetes'!$C$384:$P$423,G$103,FALSE)</f>
        <v>843.5</v>
      </c>
      <c r="H119" s="397">
        <f t="shared" si="6"/>
        <v>583</v>
      </c>
      <c r="I119" s="397">
        <f t="shared" ref="I119:I122" si="17">INDEX(vector.implicit.prices.line.rental.after.discount,MATCH($E119,vector.plans.names,0))</f>
        <v>147.87341772151899</v>
      </c>
      <c r="J119" s="397">
        <f t="shared" ref="J119:J122" si="18">INDEX(vector.implicit.prices.voice.after.discount,MATCH($E119,vector.plans.names,0))</f>
        <v>28.379746835443036</v>
      </c>
      <c r="K119" s="397">
        <f t="shared" ref="K119:K122" si="19">INDEX(vector.implicit.prices.digitalservices.after.discount,MATCH(E119,vector.plans.names,0))</f>
        <v>59.746835443037973</v>
      </c>
      <c r="L119" s="509">
        <v>644.59383153936346</v>
      </c>
      <c r="M119" s="409">
        <f t="shared" ref="M119:M122" si="20">H119*(1-Retail.minus.int.retail.minus.items.only)+I119*(1-Retail.minus.line.rental.retail.minus.items.only)+J119*(1-Retail.minus.additional.calls.retail.minus.items.only)+K119*(1-Retail.minus.additional.calls.retail.minus.items.only)</f>
        <v>618.23988515084602</v>
      </c>
      <c r="N119" s="410">
        <f t="shared" si="12"/>
        <v>0.26705407806657255</v>
      </c>
      <c r="O119" s="301"/>
      <c r="P119" s="410">
        <f t="shared" si="11"/>
        <v>4.2515450855936071E-4</v>
      </c>
      <c r="Q119" s="411">
        <f>VLOOKUP(E119,Mercado!$E$62:$O$95,11,0)</f>
        <v>3627.2913886203478</v>
      </c>
      <c r="R119" s="385" t="str">
        <f>VLOOKUP($E119,'Planes y paquetes'!$C$384:$P$423,R$103,FALSE)</f>
        <v>500 Mbps</v>
      </c>
      <c r="S119" s="385" t="str">
        <f>VLOOKUP($E119,'Planes y paquetes'!$C$384:$P$423,S$103,FALSE)</f>
        <v>300 Mbps</v>
      </c>
    </row>
    <row r="120" spans="1:19" ht="14.25">
      <c r="A120" s="407"/>
      <c r="B120" s="408"/>
      <c r="D120" s="95">
        <v>16</v>
      </c>
      <c r="E120" s="255" t="s">
        <v>205</v>
      </c>
      <c r="F120" s="337" t="str">
        <f>VLOOKUP($E120,'Planes y paquetes'!$C$96:$H$136,F$73,FALSE)</f>
        <v>Renta Mensual</v>
      </c>
      <c r="G120" s="396">
        <f>VLOOKUP($E120,'Planes y paquetes'!$C$384:$P$423,G$103,FALSE)</f>
        <v>1265.6600000000001</v>
      </c>
      <c r="H120" s="397">
        <f t="shared" si="6"/>
        <v>1094</v>
      </c>
      <c r="I120" s="397">
        <f t="shared" si="17"/>
        <v>149.70731707317074</v>
      </c>
      <c r="J120" s="397">
        <f t="shared" si="18"/>
        <v>37.804878048780488</v>
      </c>
      <c r="K120" s="397">
        <f t="shared" si="19"/>
        <v>60.487804878048777</v>
      </c>
      <c r="L120" s="509">
        <v>949.94751427797701</v>
      </c>
      <c r="M120" s="409">
        <f t="shared" si="20"/>
        <v>983.63689722303513</v>
      </c>
      <c r="N120" s="410">
        <f t="shared" si="12"/>
        <v>0.22282690673400829</v>
      </c>
      <c r="O120" s="301"/>
      <c r="P120" s="410">
        <f t="shared" si="11"/>
        <v>1.0669014920674728E-5</v>
      </c>
      <c r="Q120" s="411">
        <f>VLOOKUP(E120,Mercado!$E$62:$O$95,11,0)</f>
        <v>91.024851360413464</v>
      </c>
      <c r="R120" s="385" t="str">
        <f>VLOOKUP($E120,'Planes y paquetes'!$C$384:$P$423,R$103,FALSE)</f>
        <v>750 Mbps</v>
      </c>
      <c r="S120" s="385" t="str">
        <f>VLOOKUP($E120,'Planes y paquetes'!$C$384:$P$423,S$103,FALSE)</f>
        <v>300 Mbps</v>
      </c>
    </row>
    <row r="121" spans="1:19" ht="14.25">
      <c r="A121" s="407"/>
      <c r="B121" s="408"/>
      <c r="D121" s="95">
        <v>17</v>
      </c>
      <c r="E121" s="255" t="s">
        <v>206</v>
      </c>
      <c r="F121" s="337" t="str">
        <f>VLOOKUP($E121,'Planes y paquetes'!$C$96:$H$136,F$73,FALSE)</f>
        <v>Renta Mensual</v>
      </c>
      <c r="G121" s="396">
        <f>VLOOKUP($E121,'Planes y paquetes'!$C$384:$P$423,G$103,FALSE)</f>
        <v>1510.52</v>
      </c>
      <c r="H121" s="397">
        <f t="shared" si="6"/>
        <v>1534</v>
      </c>
      <c r="I121" s="397">
        <f t="shared" si="17"/>
        <v>150.14501510574019</v>
      </c>
      <c r="J121" s="397">
        <f t="shared" si="18"/>
        <v>40.190332326283986</v>
      </c>
      <c r="K121" s="397">
        <f t="shared" si="19"/>
        <v>60.664652567975835</v>
      </c>
      <c r="L121" s="509">
        <v>1122.5513075504309</v>
      </c>
      <c r="M121" s="409">
        <f t="shared" si="20"/>
        <v>1291.5891690074882</v>
      </c>
      <c r="N121" s="410">
        <f t="shared" si="12"/>
        <v>0.14493739307821929</v>
      </c>
      <c r="O121" s="301"/>
      <c r="P121" s="410">
        <f t="shared" si="11"/>
        <v>4.3593824407058029E-6</v>
      </c>
      <c r="Q121" s="411">
        <f>VLOOKUP(E121,Mercado!$E$62:$O$95,11,0)</f>
        <v>37.192950018233461</v>
      </c>
      <c r="R121" s="385" t="str">
        <f>VLOOKUP($E121,'Planes y paquetes'!$C$384:$P$423,R$103,FALSE)</f>
        <v>750 Mbps</v>
      </c>
      <c r="S121" s="385" t="str">
        <f>VLOOKUP($E121,'Planes y paquetes'!$C$384:$P$423,S$103,FALSE)</f>
        <v>300 Mbps</v>
      </c>
    </row>
    <row r="122" spans="1:19" ht="15" thickBot="1">
      <c r="A122" s="407"/>
      <c r="B122" s="408"/>
      <c r="D122" s="95">
        <v>18</v>
      </c>
      <c r="E122" s="255" t="s">
        <v>207</v>
      </c>
      <c r="F122" s="337" t="str">
        <f>VLOOKUP($E122,'Planes y paquetes'!$C$96:$H$136,F$73,FALSE)</f>
        <v>Renta Mensual</v>
      </c>
      <c r="G122" s="396">
        <f>VLOOKUP($E122,'Planes y paquetes'!$C$384:$P$423,G$103,FALSE)</f>
        <v>1932.69</v>
      </c>
      <c r="H122" s="397">
        <f t="shared" si="6"/>
        <v>1931</v>
      </c>
      <c r="I122" s="397">
        <f t="shared" si="17"/>
        <v>150.14501510574019</v>
      </c>
      <c r="J122" s="397">
        <f t="shared" si="18"/>
        <v>40.190332326283986</v>
      </c>
      <c r="K122" s="397">
        <f t="shared" si="19"/>
        <v>60.664652567975835</v>
      </c>
      <c r="L122" s="509">
        <v>1423.1673120187149</v>
      </c>
      <c r="M122" s="409">
        <f t="shared" si="20"/>
        <v>1566.9817158295291</v>
      </c>
      <c r="N122" s="410">
        <f t="shared" si="12"/>
        <v>0.18922242272194245</v>
      </c>
      <c r="O122" s="301"/>
      <c r="P122" s="410">
        <f t="shared" si="11"/>
        <v>2.1796912203529014E-6</v>
      </c>
      <c r="Q122" s="411">
        <f>VLOOKUP(E122,Mercado!$E$62:$O$95,11,0)</f>
        <v>18.59647500911673</v>
      </c>
      <c r="R122" s="385" t="str">
        <f>VLOOKUP($E122,'Planes y paquetes'!$C$384:$P$423,R$103,FALSE)</f>
        <v>1000 Mbps</v>
      </c>
      <c r="S122" s="385" t="str">
        <f>VLOOKUP($E122,'Planes y paquetes'!$C$384:$P$423,S$103,FALSE)</f>
        <v>300 Mbps</v>
      </c>
    </row>
    <row r="123" spans="1:19" ht="24" customHeight="1">
      <c r="A123" s="412"/>
      <c r="B123" s="413"/>
      <c r="D123" s="414"/>
      <c r="E123" s="414"/>
      <c r="F123" s="415"/>
      <c r="G123" s="416"/>
      <c r="H123" s="416"/>
      <c r="I123" s="416"/>
      <c r="J123" s="416"/>
      <c r="K123" s="416"/>
      <c r="L123" s="416"/>
      <c r="M123" s="522" t="s">
        <v>1080</v>
      </c>
      <c r="N123" s="522"/>
      <c r="O123" s="418"/>
      <c r="P123" s="416"/>
      <c r="Q123" s="416"/>
      <c r="R123" s="416"/>
      <c r="S123" s="418"/>
    </row>
    <row r="124" spans="1:19" ht="12">
      <c r="A124" s="407"/>
      <c r="E124" s="211"/>
      <c r="F124" s="211"/>
      <c r="G124" s="211"/>
      <c r="H124" s="211"/>
      <c r="I124" s="211"/>
      <c r="J124" s="211"/>
      <c r="K124" s="211"/>
      <c r="L124" s="211"/>
      <c r="M124" s="393" t="s">
        <v>679</v>
      </c>
      <c r="N124" s="394" t="s">
        <v>680</v>
      </c>
      <c r="O124" s="211"/>
      <c r="P124" s="211"/>
      <c r="Q124" s="211"/>
      <c r="S124" s="244"/>
    </row>
    <row r="125" spans="1:19" ht="12">
      <c r="A125" s="407"/>
      <c r="M125" s="508">
        <v>0.20497107207568274</v>
      </c>
      <c r="N125" s="417">
        <f>SUMPRODUCT(N105:N122,P105:P122)/SUM(P105:P122)</f>
        <v>0.2663395366014249</v>
      </c>
      <c r="R125" s="419"/>
      <c r="S125" s="420"/>
    </row>
    <row r="126" spans="1:19" ht="12">
      <c r="A126" s="407"/>
      <c r="E126" s="96" t="s">
        <v>742</v>
      </c>
      <c r="H126" s="518" t="s">
        <v>678</v>
      </c>
      <c r="I126" s="518"/>
      <c r="S126" s="265"/>
    </row>
    <row r="127" spans="1:19" ht="24">
      <c r="A127" s="407"/>
      <c r="F127" s="95">
        <v>4</v>
      </c>
      <c r="G127" s="95">
        <v>5</v>
      </c>
      <c r="H127" s="393" t="s">
        <v>679</v>
      </c>
      <c r="I127" s="394" t="s">
        <v>680</v>
      </c>
      <c r="O127" s="98"/>
      <c r="P127" s="98"/>
      <c r="S127" s="265"/>
    </row>
    <row r="128" spans="1:19" ht="36">
      <c r="A128" s="407"/>
      <c r="E128" s="40" t="s">
        <v>317</v>
      </c>
      <c r="F128" s="40" t="s">
        <v>213</v>
      </c>
      <c r="G128" s="40" t="str">
        <f>"Precio minorista "&amp;Year.selected
&amp;" Sin impuestos"</f>
        <v>Precio minorista 2024 Sin impuestos</v>
      </c>
      <c r="H128" s="40" t="s">
        <v>682</v>
      </c>
      <c r="I128" s="40" t="s">
        <v>682</v>
      </c>
      <c r="J128" s="40" t="s">
        <v>215</v>
      </c>
      <c r="K128" s="421"/>
      <c r="L128" s="421"/>
      <c r="M128" s="421"/>
      <c r="N128" s="421"/>
      <c r="O128" s="421"/>
      <c r="P128" s="421"/>
      <c r="Q128" s="421"/>
      <c r="S128" s="265"/>
    </row>
    <row r="129" spans="1:19" ht="12">
      <c r="A129" s="407"/>
      <c r="D129" s="95">
        <v>1</v>
      </c>
      <c r="E129" s="255" t="s">
        <v>518</v>
      </c>
      <c r="F129" s="337" t="str">
        <f>VLOOKUP($E129,'Planes y paquetes'!$C$96:$H$136,F$73,FALSE)</f>
        <v>Renta Mensual</v>
      </c>
      <c r="G129" s="396">
        <f>VLOOKUP($E129,Precios!$C$280:$D$321,2,FALSE)</f>
        <v>172.41</v>
      </c>
      <c r="H129" s="509">
        <v>122.5899835734689</v>
      </c>
      <c r="I129" s="409">
        <f t="shared" ref="I129:I148" si="21">G129*(1-Retail.minus.int.retail.minus.items.only)</f>
        <v>119.59805792843345</v>
      </c>
      <c r="O129" s="422"/>
      <c r="P129" s="301"/>
      <c r="S129" s="265"/>
    </row>
    <row r="130" spans="1:19" ht="12">
      <c r="A130" s="407"/>
      <c r="D130" s="95">
        <f>D129+1</f>
        <v>2</v>
      </c>
      <c r="E130" s="255" t="s">
        <v>521</v>
      </c>
      <c r="F130" s="337" t="str">
        <f>VLOOKUP($E130,'Planes y paquetes'!$C$96:$H$136,F$73,FALSE)</f>
        <v>Renta Mensual</v>
      </c>
      <c r="G130" s="396">
        <f>VLOOKUP($E130,Precios!$C$280:$D$321,2,FALSE)</f>
        <v>215.52</v>
      </c>
      <c r="H130" s="509">
        <v>153.24281224844276</v>
      </c>
      <c r="I130" s="409">
        <f>G130*(1-Retail.minus.int.retail.minus.items.only)</f>
        <v>149.50277504051957</v>
      </c>
      <c r="O130" s="422"/>
      <c r="P130" s="301"/>
      <c r="S130" s="265"/>
    </row>
    <row r="131" spans="1:19" ht="12">
      <c r="A131" s="407"/>
      <c r="D131" s="95">
        <f t="shared" ref="D131:D148" si="22">D130+1</f>
        <v>3</v>
      </c>
      <c r="E131" s="423" t="s">
        <v>743</v>
      </c>
      <c r="F131" s="337" t="s">
        <v>683</v>
      </c>
      <c r="G131" s="396">
        <f>VLOOKUP($E131,Precios!$C$280:$D$321,2,FALSE)</f>
        <v>241.38</v>
      </c>
      <c r="H131" s="509">
        <v>171.63024322814178</v>
      </c>
      <c r="I131" s="409">
        <f>G131*(1-Retail.minus.int.retail.minus.items.only)</f>
        <v>167.44144320378902</v>
      </c>
      <c r="O131" s="422"/>
      <c r="P131" s="301"/>
      <c r="S131" s="265"/>
    </row>
    <row r="132" spans="1:19" ht="12">
      <c r="A132" s="407"/>
      <c r="D132" s="95">
        <f t="shared" si="22"/>
        <v>4</v>
      </c>
      <c r="E132" s="255" t="s">
        <v>744</v>
      </c>
      <c r="F132" s="337" t="str">
        <f>VLOOKUP($E132,'Planes y paquetes'!$C$96:$H$136,F$73,FALSE)</f>
        <v>Renta Mensual</v>
      </c>
      <c r="G132" s="396">
        <f>VLOOKUP($E132,Precios!$C$280:$D$321,2,FALSE)</f>
        <v>258.63</v>
      </c>
      <c r="H132" s="509">
        <v>183.89564092341664</v>
      </c>
      <c r="I132" s="409">
        <f>G132*(1-Retail.minus.int.retail.minus.items.only)</f>
        <v>179.40749215260567</v>
      </c>
      <c r="O132" s="422"/>
      <c r="P132" s="301"/>
      <c r="S132" s="265"/>
    </row>
    <row r="133" spans="1:19" ht="12">
      <c r="A133" s="407"/>
      <c r="D133" s="95">
        <f t="shared" si="22"/>
        <v>5</v>
      </c>
      <c r="E133" s="423" t="s">
        <v>745</v>
      </c>
      <c r="F133" s="337" t="s">
        <v>683</v>
      </c>
      <c r="G133" s="396">
        <f>VLOOKUP($E133,Precios!$C$280:$D$321,2,FALSE)</f>
        <v>301.72000000000003</v>
      </c>
      <c r="H133" s="509">
        <v>214.53424884743947</v>
      </c>
      <c r="I133" s="409">
        <f>G133*(1-Retail.minus.int.retail.minus.items.only)</f>
        <v>209.29833558475116</v>
      </c>
      <c r="O133" s="422"/>
      <c r="P133" s="301"/>
      <c r="S133" s="265"/>
    </row>
    <row r="134" spans="1:19" ht="12">
      <c r="A134" s="407"/>
      <c r="D134" s="95">
        <f t="shared" si="22"/>
        <v>6</v>
      </c>
      <c r="E134" s="255" t="s">
        <v>502</v>
      </c>
      <c r="F134" s="337" t="str">
        <f>VLOOKUP($E134,'Planes y paquetes'!$C$96:$H$136,F$73,FALSE)</f>
        <v>Renta Mensual</v>
      </c>
      <c r="G134" s="396">
        <f>VLOOKUP($E134,Precios!$C$280:$D$321,2,FALSE)</f>
        <v>344.83</v>
      </c>
      <c r="H134" s="509">
        <v>245.18707752241329</v>
      </c>
      <c r="I134" s="409">
        <f>G134*(1-Retail.minus.int.retail.minus.items.only)</f>
        <v>239.20305269683723</v>
      </c>
      <c r="O134" s="422"/>
      <c r="P134" s="301"/>
      <c r="S134" s="265"/>
    </row>
    <row r="135" spans="1:19" ht="12">
      <c r="A135" s="407"/>
      <c r="D135" s="95">
        <f t="shared" si="22"/>
        <v>7</v>
      </c>
      <c r="E135" s="255" t="s">
        <v>504</v>
      </c>
      <c r="F135" s="337" t="str">
        <f>VLOOKUP($E135,'Planes y paquetes'!$C$96:$H$136,F$73,FALSE)</f>
        <v>Renta Mensual</v>
      </c>
      <c r="G135" s="396">
        <f>VLOOKUP($E135,Precios!$C$280:$D$321,2,FALSE)</f>
        <v>387.94</v>
      </c>
      <c r="H135" s="509">
        <v>275.83990619738717</v>
      </c>
      <c r="I135" s="409">
        <f t="shared" si="21"/>
        <v>269.10776980892336</v>
      </c>
      <c r="O135" s="422"/>
      <c r="P135" s="301"/>
      <c r="S135" s="265"/>
    </row>
    <row r="136" spans="1:19" ht="12">
      <c r="A136" s="407"/>
      <c r="D136" s="95">
        <f t="shared" si="22"/>
        <v>8</v>
      </c>
      <c r="E136" s="255" t="s">
        <v>506</v>
      </c>
      <c r="F136" s="337" t="str">
        <f>VLOOKUP($E136,'Planes y paquetes'!$C$96:$H$136,F$73,FALSE)</f>
        <v>Renta Mensual</v>
      </c>
      <c r="G136" s="396">
        <f>VLOOKUP($E136,Precios!$C$280:$D$321,2,FALSE)</f>
        <v>431.03</v>
      </c>
      <c r="H136" s="509">
        <v>306.47851412141</v>
      </c>
      <c r="I136" s="409">
        <f>G136*(1-Retail.minus.int.retail.minus.items.only)</f>
        <v>298.99861324106877</v>
      </c>
      <c r="O136" s="422"/>
      <c r="P136" s="301"/>
      <c r="S136" s="265"/>
    </row>
    <row r="137" spans="1:19" ht="12">
      <c r="A137" s="407"/>
      <c r="D137" s="95">
        <f t="shared" si="22"/>
        <v>9</v>
      </c>
      <c r="E137" s="255" t="s">
        <v>746</v>
      </c>
      <c r="F137" s="337" t="str">
        <f>VLOOKUP($E137,'Planes y paquetes'!$C$189:$F$271,F$127,FALSE)</f>
        <v>Otro (describa el tipo de cobro)</v>
      </c>
      <c r="G137" s="396">
        <f>VLOOKUP($E137,'Planes y paquetes'!$C$189:$J$271,7,FALSE)</f>
        <v>25</v>
      </c>
      <c r="H137" s="509">
        <v>17.775938688804143</v>
      </c>
      <c r="I137" s="409">
        <f t="shared" si="21"/>
        <v>17.34209992582122</v>
      </c>
      <c r="O137" s="422"/>
      <c r="P137" s="301"/>
      <c r="S137" s="265"/>
    </row>
    <row r="138" spans="1:19" ht="12">
      <c r="A138" s="407"/>
      <c r="D138" s="95">
        <f t="shared" si="22"/>
        <v>10</v>
      </c>
      <c r="E138" s="255" t="s">
        <v>747</v>
      </c>
      <c r="F138" s="337" t="str">
        <f>VLOOKUP($E138,'Planes y paquetes'!$C$189:$F$271,F$127,FALSE)</f>
        <v>Otro (describa el tipo de cobro)</v>
      </c>
      <c r="G138" s="396">
        <f>VLOOKUP($E138,'Planes y paquetes'!$C$189:$J$271,7,FALSE)</f>
        <v>102.59</v>
      </c>
      <c r="H138" s="509">
        <v>72.94534200337668</v>
      </c>
      <c r="I138" s="409">
        <f t="shared" si="21"/>
        <v>71.165041255599959</v>
      </c>
      <c r="O138" s="422"/>
      <c r="P138" s="301"/>
      <c r="S138" s="265"/>
    </row>
    <row r="139" spans="1:19" ht="12">
      <c r="A139" s="407"/>
      <c r="D139" s="95">
        <f t="shared" si="22"/>
        <v>11</v>
      </c>
      <c r="E139" s="255" t="s">
        <v>748</v>
      </c>
      <c r="F139" s="337" t="str">
        <f>VLOOKUP($E139,'Planes y paquetes'!$C$189:$F$271,F$127,FALSE)</f>
        <v>Otro (describa el tipo de cobro)</v>
      </c>
      <c r="G139" s="396">
        <f>VLOOKUP($E139,'Planes y paquetes'!$C$189:$J$271,7,FALSE)</f>
        <v>180.17</v>
      </c>
      <c r="H139" s="509">
        <v>128.10763494247368</v>
      </c>
      <c r="I139" s="409">
        <f t="shared" si="21"/>
        <v>124.98104574540835</v>
      </c>
      <c r="O139" s="422"/>
      <c r="P139" s="301"/>
      <c r="S139" s="265"/>
    </row>
    <row r="140" spans="1:19" ht="12">
      <c r="A140" s="407"/>
      <c r="D140" s="95">
        <f t="shared" si="22"/>
        <v>12</v>
      </c>
      <c r="E140" s="255" t="s">
        <v>749</v>
      </c>
      <c r="F140" s="337" t="str">
        <f>VLOOKUP($E140,'Planes y paquetes'!$C$189:$F$271,F$127,FALSE)</f>
        <v>Otro (describa el tipo de cobro)</v>
      </c>
      <c r="G140" s="396">
        <f>VLOOKUP($E140,'Planes y paquetes'!$C$189:$J$271,7,FALSE)</f>
        <v>42.24</v>
      </c>
      <c r="H140" s="509">
        <v>30.034226008603483</v>
      </c>
      <c r="I140" s="409">
        <f t="shared" si="21"/>
        <v>29.301212034667532</v>
      </c>
      <c r="O140" s="422"/>
      <c r="P140" s="301"/>
      <c r="S140" s="265"/>
    </row>
    <row r="141" spans="1:19" ht="12">
      <c r="A141" s="407"/>
      <c r="D141" s="95">
        <f t="shared" si="22"/>
        <v>13</v>
      </c>
      <c r="E141" s="255" t="s">
        <v>750</v>
      </c>
      <c r="F141" s="337" t="str">
        <f>VLOOKUP($E141,'Planes y paquetes'!$C$189:$F$271,F$127,FALSE)</f>
        <v>Otro (describa el tipo de cobro)</v>
      </c>
      <c r="G141" s="396">
        <f>VLOOKUP($E141,'Planes y paquetes'!$C$189:$J$271,7,FALSE)</f>
        <v>128.44999999999999</v>
      </c>
      <c r="H141" s="509">
        <v>91.332772983075685</v>
      </c>
      <c r="I141" s="409">
        <f t="shared" si="21"/>
        <v>89.103709418869414</v>
      </c>
      <c r="O141" s="422"/>
      <c r="P141" s="301"/>
      <c r="S141" s="265"/>
    </row>
    <row r="142" spans="1:19" ht="12">
      <c r="A142" s="407"/>
      <c r="D142" s="95">
        <f t="shared" si="22"/>
        <v>14</v>
      </c>
      <c r="E142" s="255" t="s">
        <v>751</v>
      </c>
      <c r="F142" s="337" t="str">
        <f>VLOOKUP($E142,'Planes y paquetes'!$C$189:$F$271,F$127,FALSE)</f>
        <v>Otro (describa el tipo de cobro)</v>
      </c>
      <c r="G142" s="396">
        <f>VLOOKUP($E142,'Planes y paquetes'!$C$189:$J$271,7,FALSE)</f>
        <v>257.76</v>
      </c>
      <c r="H142" s="509">
        <v>183.27703825704623</v>
      </c>
      <c r="I142" s="409">
        <f t="shared" si="21"/>
        <v>178.80398707518708</v>
      </c>
      <c r="O142" s="422"/>
      <c r="P142" s="301"/>
      <c r="S142" s="265"/>
    </row>
    <row r="143" spans="1:19" ht="12">
      <c r="A143" s="407"/>
      <c r="D143" s="95">
        <f t="shared" si="22"/>
        <v>15</v>
      </c>
      <c r="E143" s="255" t="s">
        <v>752</v>
      </c>
      <c r="F143" s="337" t="str">
        <f>VLOOKUP($E143,'Planes y paquetes'!$C$189:$F$271,F$127,FALSE)</f>
        <v>Otro (describa el tipo de cobro)</v>
      </c>
      <c r="G143" s="396">
        <f>VLOOKUP($E143,'Planes y paquetes'!$C$189:$J$271,7,FALSE)</f>
        <v>52.59</v>
      </c>
      <c r="H143" s="509">
        <v>37.393464625768402</v>
      </c>
      <c r="I143" s="409">
        <f t="shared" si="21"/>
        <v>36.48084140395752</v>
      </c>
      <c r="O143" s="422"/>
      <c r="P143" s="301"/>
      <c r="S143" s="265"/>
    </row>
    <row r="144" spans="1:19" ht="12">
      <c r="A144" s="407"/>
      <c r="D144" s="95">
        <f t="shared" si="22"/>
        <v>16</v>
      </c>
      <c r="E144" s="255" t="s">
        <v>753</v>
      </c>
      <c r="F144" s="337" t="str">
        <f>VLOOKUP($E144,'Planes y paquetes'!$C$189:$F$271,F$127,FALSE)</f>
        <v>Otro (describa el tipo de cobro)</v>
      </c>
      <c r="G144" s="396">
        <f>VLOOKUP($E144,'Planes y paquetes'!$C$189:$J$271,7,FALSE)</f>
        <v>171.55</v>
      </c>
      <c r="H144" s="509">
        <v>121.97849128257404</v>
      </c>
      <c r="I144" s="409">
        <f t="shared" si="21"/>
        <v>119.00148969098521</v>
      </c>
      <c r="O144" s="422"/>
      <c r="P144" s="301"/>
      <c r="S144" s="265"/>
    </row>
    <row r="145" spans="1:19" ht="12">
      <c r="A145" s="407"/>
      <c r="D145" s="95">
        <f t="shared" si="22"/>
        <v>17</v>
      </c>
      <c r="E145" s="255" t="s">
        <v>754</v>
      </c>
      <c r="F145" s="337" t="str">
        <f>VLOOKUP($E145,'Planes y paquetes'!$C$189:$F$271,F$127,FALSE)</f>
        <v>Otro (describa el tipo de cobro)</v>
      </c>
      <c r="G145" s="396">
        <f>VLOOKUP($E145,'Planes y paquetes'!$C$189:$J$271,7,FALSE)</f>
        <v>343.97</v>
      </c>
      <c r="H145" s="509">
        <v>244.57558523151846</v>
      </c>
      <c r="I145" s="409">
        <f t="shared" si="21"/>
        <v>238.60648445938901</v>
      </c>
      <c r="O145" s="422"/>
      <c r="P145" s="301"/>
      <c r="S145" s="265"/>
    </row>
    <row r="146" spans="1:19" ht="12">
      <c r="A146" s="407"/>
      <c r="D146" s="95">
        <f t="shared" si="22"/>
        <v>18</v>
      </c>
      <c r="E146" s="255" t="s">
        <v>198</v>
      </c>
      <c r="F146" s="337" t="str">
        <f>VLOOKUP($E146,'Planes y paquetes'!$C$97:$F$136,F$127,FALSE)</f>
        <v>Renta Mensual</v>
      </c>
      <c r="G146" s="396">
        <f>VLOOKUP($E146,'Planes y paquetes'!$C$97:$H$136,G$127,FALSE)</f>
        <v>349</v>
      </c>
      <c r="H146" s="509">
        <v>248.15210409570585</v>
      </c>
      <c r="I146" s="409">
        <f t="shared" si="21"/>
        <v>242.09571496446424</v>
      </c>
      <c r="O146" s="422"/>
      <c r="P146" s="301"/>
      <c r="S146" s="265"/>
    </row>
    <row r="147" spans="1:19" ht="12">
      <c r="A147" s="407"/>
      <c r="D147" s="95">
        <f t="shared" si="22"/>
        <v>19</v>
      </c>
      <c r="E147" s="255" t="s">
        <v>200</v>
      </c>
      <c r="F147" s="337" t="str">
        <f>VLOOKUP($E147,'Planes y paquetes'!$C$97:$F$136,F$127,FALSE)</f>
        <v>Renta Mensual</v>
      </c>
      <c r="G147" s="396">
        <f>VLOOKUP($E147,'Planes y paquetes'!$C$97:$H$136,G$127,FALSE)</f>
        <v>608.69000000000005</v>
      </c>
      <c r="H147" s="509">
        <v>432.80144481952783</v>
      </c>
      <c r="I147" s="409">
        <f t="shared" si="21"/>
        <v>422.23851215392477</v>
      </c>
      <c r="O147" s="422"/>
      <c r="P147" s="301"/>
      <c r="S147" s="265"/>
    </row>
    <row r="148" spans="1:19" ht="12.75" thickBot="1">
      <c r="A148" s="407"/>
      <c r="D148" s="95">
        <f t="shared" si="22"/>
        <v>20</v>
      </c>
      <c r="E148" s="255" t="s">
        <v>202</v>
      </c>
      <c r="F148" s="337" t="str">
        <f>VLOOKUP($E148,'Planes y paquetes'!$C$97:$F$136,F$127,FALSE)</f>
        <v>Renta Mensual</v>
      </c>
      <c r="G148" s="396">
        <f>VLOOKUP($E148,'Planes y paquetes'!$C$97:$H$136,G$127,FALSE)</f>
        <v>1042.5999999999999</v>
      </c>
      <c r="H148" s="509">
        <v>741.32774707788792</v>
      </c>
      <c r="I148" s="409">
        <f t="shared" si="21"/>
        <v>723.23493530644805</v>
      </c>
      <c r="O148" s="422"/>
      <c r="P148" s="301"/>
      <c r="S148" s="265"/>
    </row>
    <row r="149" spans="1:19" ht="12">
      <c r="E149" s="50"/>
      <c r="F149" s="50"/>
      <c r="G149" s="50"/>
      <c r="H149" s="50"/>
      <c r="I149" s="50"/>
      <c r="J149" s="50"/>
      <c r="K149" s="50"/>
      <c r="L149" s="50"/>
      <c r="M149" s="50"/>
      <c r="N149" s="50"/>
      <c r="O149" s="50"/>
      <c r="P149" s="50"/>
      <c r="Q149" s="50"/>
    </row>
    <row r="150" spans="1:19" ht="12"/>
    <row r="151" spans="1:19" ht="12">
      <c r="A151" s="94" t="s">
        <v>366</v>
      </c>
      <c r="B151" s="94" t="s">
        <v>300</v>
      </c>
      <c r="C151" s="73"/>
      <c r="D151" s="73"/>
      <c r="E151" s="73"/>
      <c r="F151" s="73"/>
      <c r="G151" s="73"/>
      <c r="H151" s="73"/>
      <c r="I151" s="73"/>
      <c r="J151" s="73"/>
      <c r="K151" s="73"/>
      <c r="L151" s="73"/>
      <c r="M151" s="73"/>
      <c r="N151" s="73"/>
      <c r="O151" s="73"/>
      <c r="P151" s="73"/>
      <c r="Q151" s="73"/>
      <c r="R151" s="73"/>
      <c r="S151" s="73"/>
    </row>
  </sheetData>
  <mergeCells count="9">
    <mergeCell ref="M123:N123"/>
    <mergeCell ref="H126:I126"/>
    <mergeCell ref="L15:M15"/>
    <mergeCell ref="B3:C3"/>
    <mergeCell ref="B67:C67"/>
    <mergeCell ref="B93:C93"/>
    <mergeCell ref="L9:M9"/>
    <mergeCell ref="L72:M72"/>
    <mergeCell ref="L102:M102"/>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CB9D-3DD9-4CE4-8442-994355E1D252}">
  <sheetPr>
    <tabColor rgb="FFFF0000"/>
  </sheetPr>
  <dimension ref="A1:C3"/>
  <sheetViews>
    <sheetView showGridLines="0" zoomScale="115" zoomScaleNormal="115" workbookViewId="0">
      <pane ySplit="1" topLeftCell="A2" activePane="bottomLeft" state="frozen"/>
      <selection activeCell="D111" sqref="D111"/>
      <selection pane="bottomLeft" activeCell="D111" sqref="D111"/>
    </sheetView>
  </sheetViews>
  <sheetFormatPr baseColWidth="10" defaultRowHeight="11.45" customHeight="1"/>
  <sheetData>
    <row r="1" spans="1:3" ht="33.75" customHeight="1">
      <c r="A1" s="84"/>
      <c r="B1" s="84"/>
      <c r="C1" s="84" t="s">
        <v>755</v>
      </c>
    </row>
    <row r="2" spans="1:3" ht="12"/>
    <row r="3" spans="1:3" ht="12">
      <c r="C3" t="s">
        <v>756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4128A-7995-46FF-B758-DC495163E0D5}">
  <sheetPr>
    <tabColor theme="3" tint="0.499984740745262"/>
    <pageSetUpPr autoPageBreaks="0"/>
  </sheetPr>
  <dimension ref="A1:BX738"/>
  <sheetViews>
    <sheetView showGridLines="0" defaultGridColor="0" colorId="22" zoomScaleNormal="100" workbookViewId="0">
      <selection sqref="A1:XFD1048576"/>
    </sheetView>
  </sheetViews>
  <sheetFormatPr baseColWidth="10" defaultColWidth="12.7109375" defaultRowHeight="11.45" customHeight="1" outlineLevelRow="1"/>
  <cols>
    <col min="1" max="1" width="21" style="571" customWidth="1"/>
    <col min="3" max="3" width="44.5703125" customWidth="1"/>
    <col min="4" max="4" width="24.5703125" bestFit="1" customWidth="1"/>
    <col min="5" max="5" width="29.7109375" customWidth="1"/>
    <col min="6" max="6" width="35.28515625" customWidth="1"/>
    <col min="7" max="7" width="36.5703125" customWidth="1"/>
    <col min="8" max="8" width="30.28515625" customWidth="1"/>
    <col min="9" max="9" width="31.5703125" customWidth="1"/>
    <col min="10" max="11" width="35.140625" customWidth="1"/>
    <col min="12" max="12" width="31.42578125" customWidth="1"/>
    <col min="13" max="13" width="25.28515625" customWidth="1"/>
    <col min="14" max="14" width="29.7109375" customWidth="1"/>
    <col min="15" max="19" width="33.7109375" customWidth="1"/>
    <col min="20" max="20" width="32.42578125" bestFit="1" customWidth="1"/>
    <col min="21" max="21" width="35.28515625" customWidth="1"/>
    <col min="22" max="22" width="27.7109375" customWidth="1"/>
    <col min="23" max="23" width="36.42578125" customWidth="1"/>
    <col min="24" max="30" width="27.7109375" customWidth="1"/>
    <col min="31" max="31" width="26.5703125" customWidth="1"/>
    <col min="32" max="35" width="29.7109375" customWidth="1"/>
    <col min="36" max="36" width="24.42578125" customWidth="1"/>
    <col min="37" max="38" width="34.140625" customWidth="1"/>
    <col min="39" max="39" width="48.42578125" bestFit="1" customWidth="1"/>
    <col min="40" max="40" width="46.140625" customWidth="1"/>
    <col min="41" max="41" width="48.42578125" bestFit="1" customWidth="1"/>
    <col min="42" max="42" width="38.85546875" customWidth="1"/>
    <col min="43" max="43" width="32.85546875" customWidth="1"/>
    <col min="44" max="44" width="25.140625" customWidth="1"/>
    <col min="45" max="67" width="35.28515625" customWidth="1"/>
    <col min="68" max="68" width="17.7109375" customWidth="1"/>
    <col min="69" max="69" width="18.140625" customWidth="1"/>
    <col min="70" max="70" width="16.7109375" customWidth="1"/>
  </cols>
  <sheetData>
    <row r="1" spans="1:76" ht="33.75" customHeight="1">
      <c r="A1" s="424"/>
      <c r="B1" s="84"/>
      <c r="C1" s="84"/>
      <c r="D1" s="84" t="str">
        <f>"Preguntas "&amp;A2&amp;" a "&amp;A468&amp;""</f>
        <v>Preguntas 1 a 3</v>
      </c>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row>
    <row r="2" spans="1:76" ht="15.75">
      <c r="A2" s="425">
        <v>1</v>
      </c>
      <c r="B2" s="425" t="s">
        <v>757</v>
      </c>
      <c r="C2" s="425"/>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row>
    <row r="3" spans="1:76" ht="12">
      <c r="C3" s="251"/>
      <c r="D3" s="251"/>
      <c r="E3" s="251"/>
      <c r="F3" s="251"/>
    </row>
    <row r="4" spans="1:76" ht="15.75">
      <c r="C4" s="9" t="s">
        <v>758</v>
      </c>
      <c r="D4" s="251"/>
      <c r="E4" s="427">
        <v>2023</v>
      </c>
    </row>
    <row r="5" spans="1:76" ht="12">
      <c r="B5" s="251"/>
      <c r="C5" s="266" t="s">
        <v>759</v>
      </c>
    </row>
    <row r="6" spans="1:76" ht="51.4" customHeight="1">
      <c r="B6" s="251"/>
      <c r="C6" s="526" t="s">
        <v>760</v>
      </c>
      <c r="D6" s="526"/>
      <c r="E6" s="526"/>
      <c r="F6" s="527"/>
      <c r="G6" s="428">
        <v>2023</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row>
    <row r="7" spans="1:76" ht="76.150000000000006" customHeight="1">
      <c r="B7" s="251"/>
      <c r="C7" s="430" t="s">
        <v>461</v>
      </c>
      <c r="D7" s="430" t="s">
        <v>462</v>
      </c>
      <c r="E7" s="431" t="s">
        <v>463</v>
      </c>
      <c r="F7" s="431" t="s">
        <v>761</v>
      </c>
      <c r="G7" s="432" t="s">
        <v>762</v>
      </c>
      <c r="H7" s="432" t="s">
        <v>763</v>
      </c>
      <c r="I7" s="433" t="s">
        <v>764</v>
      </c>
      <c r="J7" s="434" t="s">
        <v>765</v>
      </c>
      <c r="K7" s="435" t="s">
        <v>766</v>
      </c>
      <c r="L7" s="436" t="s">
        <v>767</v>
      </c>
      <c r="M7" s="433" t="s">
        <v>768</v>
      </c>
      <c r="N7" s="434" t="s">
        <v>769</v>
      </c>
      <c r="O7" s="435" t="s">
        <v>770</v>
      </c>
      <c r="P7" s="436" t="s">
        <v>767</v>
      </c>
      <c r="Q7" s="434" t="s">
        <v>771</v>
      </c>
      <c r="R7" s="435" t="s">
        <v>772</v>
      </c>
      <c r="S7" s="436" t="s">
        <v>767</v>
      </c>
      <c r="T7" s="434" t="s">
        <v>773</v>
      </c>
      <c r="U7" s="435" t="s">
        <v>774</v>
      </c>
      <c r="V7" s="436" t="s">
        <v>767</v>
      </c>
      <c r="W7" s="434" t="s">
        <v>775</v>
      </c>
      <c r="X7" s="435" t="s">
        <v>776</v>
      </c>
      <c r="Y7" s="436" t="s">
        <v>767</v>
      </c>
      <c r="Z7" s="434" t="s">
        <v>777</v>
      </c>
      <c r="AA7" s="435" t="s">
        <v>778</v>
      </c>
      <c r="AB7" s="436" t="s">
        <v>767</v>
      </c>
      <c r="AC7" s="434" t="s">
        <v>779</v>
      </c>
      <c r="AD7" s="435" t="s">
        <v>780</v>
      </c>
      <c r="AE7" s="436" t="s">
        <v>767</v>
      </c>
      <c r="AF7" s="434" t="s">
        <v>781</v>
      </c>
      <c r="AG7" s="435" t="s">
        <v>782</v>
      </c>
      <c r="AH7" s="436" t="s">
        <v>767</v>
      </c>
      <c r="AI7" s="434" t="s">
        <v>783</v>
      </c>
      <c r="AJ7" s="435" t="s">
        <v>784</v>
      </c>
      <c r="AK7" s="436" t="s">
        <v>767</v>
      </c>
      <c r="AL7" s="434" t="s">
        <v>785</v>
      </c>
      <c r="AM7" s="435" t="s">
        <v>786</v>
      </c>
      <c r="AN7" s="436" t="s">
        <v>767</v>
      </c>
      <c r="AO7" s="434" t="s">
        <v>787</v>
      </c>
      <c r="AP7" s="435" t="s">
        <v>788</v>
      </c>
      <c r="AQ7" s="436" t="s">
        <v>767</v>
      </c>
      <c r="AR7" s="434" t="s">
        <v>789</v>
      </c>
      <c r="AS7" s="435" t="s">
        <v>790</v>
      </c>
      <c r="AT7" s="435" t="s">
        <v>791</v>
      </c>
      <c r="AU7" s="436" t="s">
        <v>767</v>
      </c>
      <c r="AV7" s="434" t="s">
        <v>792</v>
      </c>
      <c r="AW7" s="435" t="s">
        <v>793</v>
      </c>
      <c r="AX7" s="435" t="s">
        <v>794</v>
      </c>
      <c r="AY7" s="435" t="s">
        <v>795</v>
      </c>
      <c r="AZ7" s="436" t="s">
        <v>767</v>
      </c>
    </row>
    <row r="8" spans="1:76" ht="14.25">
      <c r="B8" s="437">
        <v>1</v>
      </c>
      <c r="C8" s="255" t="s">
        <v>166</v>
      </c>
      <c r="D8" s="438" t="s">
        <v>358</v>
      </c>
      <c r="E8" s="438" t="s">
        <v>796</v>
      </c>
      <c r="F8" s="438" t="s">
        <v>683</v>
      </c>
      <c r="G8" s="439">
        <v>210.24</v>
      </c>
      <c r="H8" s="439">
        <v>249</v>
      </c>
      <c r="I8" s="440" t="s">
        <v>797</v>
      </c>
      <c r="J8" s="441"/>
      <c r="K8" s="441"/>
      <c r="L8" s="441"/>
      <c r="M8" s="440" t="s">
        <v>797</v>
      </c>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510" t="s">
        <v>797</v>
      </c>
      <c r="AS8" s="441"/>
      <c r="AT8" s="441"/>
      <c r="AU8" s="441"/>
      <c r="AV8" s="510" t="s">
        <v>797</v>
      </c>
      <c r="AW8" s="441"/>
      <c r="AX8" s="441"/>
      <c r="AY8" s="441"/>
      <c r="AZ8" s="442"/>
    </row>
    <row r="9" spans="1:76" ht="14.25">
      <c r="B9" s="437">
        <f>1+B8</f>
        <v>2</v>
      </c>
      <c r="C9" s="255" t="s">
        <v>169</v>
      </c>
      <c r="D9" s="438" t="s">
        <v>358</v>
      </c>
      <c r="E9" s="438" t="s">
        <v>796</v>
      </c>
      <c r="F9" s="438" t="s">
        <v>683</v>
      </c>
      <c r="G9" s="443">
        <v>244.01</v>
      </c>
      <c r="H9" s="443">
        <v>289</v>
      </c>
      <c r="I9" s="440" t="s">
        <v>797</v>
      </c>
      <c r="J9" s="441"/>
      <c r="K9" s="441"/>
      <c r="L9" s="441"/>
      <c r="M9" s="440" t="s">
        <v>797</v>
      </c>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511" t="s">
        <v>797</v>
      </c>
      <c r="AS9" s="441"/>
      <c r="AT9" s="441"/>
      <c r="AU9" s="441"/>
      <c r="AV9" s="511" t="s">
        <v>797</v>
      </c>
      <c r="AW9" s="441"/>
      <c r="AX9" s="441"/>
      <c r="AY9" s="441"/>
      <c r="AZ9" s="442"/>
    </row>
    <row r="10" spans="1:76" ht="14.25">
      <c r="B10" s="437">
        <f t="shared" ref="B10:B73" si="0">1+B9</f>
        <v>3</v>
      </c>
      <c r="C10" s="255" t="s">
        <v>173</v>
      </c>
      <c r="D10" s="438" t="s">
        <v>358</v>
      </c>
      <c r="E10" s="438" t="s">
        <v>796</v>
      </c>
      <c r="F10" s="438" t="s">
        <v>683</v>
      </c>
      <c r="G10" s="443">
        <v>281.16000000000003</v>
      </c>
      <c r="H10" s="443">
        <v>333</v>
      </c>
      <c r="I10" s="440" t="s">
        <v>797</v>
      </c>
      <c r="J10" s="441"/>
      <c r="K10" s="441"/>
      <c r="L10" s="441"/>
      <c r="M10" s="440" t="s">
        <v>797</v>
      </c>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511" t="s">
        <v>797</v>
      </c>
      <c r="AS10" s="441"/>
      <c r="AT10" s="441"/>
      <c r="AU10" s="441"/>
      <c r="AV10" s="511" t="s">
        <v>797</v>
      </c>
      <c r="AW10" s="441"/>
      <c r="AX10" s="441"/>
      <c r="AY10" s="441"/>
      <c r="AZ10" s="442"/>
    </row>
    <row r="11" spans="1:76" ht="14.25">
      <c r="B11" s="437">
        <f t="shared" si="0"/>
        <v>4</v>
      </c>
      <c r="C11" s="255" t="s">
        <v>177</v>
      </c>
      <c r="D11" s="438" t="s">
        <v>358</v>
      </c>
      <c r="E11" s="438" t="s">
        <v>796</v>
      </c>
      <c r="F11" s="438" t="s">
        <v>683</v>
      </c>
      <c r="G11" s="443">
        <v>328.44</v>
      </c>
      <c r="H11" s="443">
        <v>389</v>
      </c>
      <c r="I11" s="440" t="s">
        <v>797</v>
      </c>
      <c r="J11" s="441"/>
      <c r="K11" s="441"/>
      <c r="L11" s="441"/>
      <c r="M11" s="440" t="s">
        <v>797</v>
      </c>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511" t="s">
        <v>797</v>
      </c>
      <c r="AS11" s="441"/>
      <c r="AT11" s="441"/>
      <c r="AU11" s="441"/>
      <c r="AV11" s="511" t="s">
        <v>797</v>
      </c>
      <c r="AW11" s="441"/>
      <c r="AX11" s="441"/>
      <c r="AY11" s="441"/>
      <c r="AZ11" s="442"/>
    </row>
    <row r="12" spans="1:76" ht="14.25">
      <c r="B12" s="437">
        <f t="shared" si="0"/>
        <v>5</v>
      </c>
      <c r="C12" s="255" t="s">
        <v>180</v>
      </c>
      <c r="D12" s="438" t="s">
        <v>358</v>
      </c>
      <c r="E12" s="438" t="s">
        <v>796</v>
      </c>
      <c r="F12" s="438" t="s">
        <v>683</v>
      </c>
      <c r="G12" s="443">
        <v>367.29</v>
      </c>
      <c r="H12" s="443">
        <v>435</v>
      </c>
      <c r="I12" s="440" t="s">
        <v>797</v>
      </c>
      <c r="J12" s="441"/>
      <c r="K12" s="441"/>
      <c r="L12" s="441"/>
      <c r="M12" s="440" t="s">
        <v>797</v>
      </c>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511" t="s">
        <v>797</v>
      </c>
      <c r="AS12" s="441"/>
      <c r="AT12" s="441"/>
      <c r="AU12" s="441"/>
      <c r="AV12" s="511" t="s">
        <v>797</v>
      </c>
      <c r="AW12" s="441"/>
      <c r="AX12" s="441"/>
      <c r="AY12" s="441"/>
      <c r="AZ12" s="442"/>
    </row>
    <row r="13" spans="1:76" ht="14.25">
      <c r="B13" s="437">
        <f t="shared" si="0"/>
        <v>6</v>
      </c>
      <c r="C13" s="255" t="s">
        <v>182</v>
      </c>
      <c r="D13" s="438" t="s">
        <v>358</v>
      </c>
      <c r="E13" s="438" t="s">
        <v>796</v>
      </c>
      <c r="F13" s="438" t="s">
        <v>683</v>
      </c>
      <c r="G13" s="443">
        <v>421.32</v>
      </c>
      <c r="H13" s="443">
        <v>499</v>
      </c>
      <c r="I13" s="440" t="s">
        <v>797</v>
      </c>
      <c r="J13" s="441"/>
      <c r="K13" s="441"/>
      <c r="L13" s="441"/>
      <c r="M13" s="440" t="s">
        <v>797</v>
      </c>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511" t="s">
        <v>797</v>
      </c>
      <c r="AS13" s="441"/>
      <c r="AT13" s="441"/>
      <c r="AU13" s="441"/>
      <c r="AV13" s="511" t="s">
        <v>797</v>
      </c>
      <c r="AW13" s="441"/>
      <c r="AX13" s="441"/>
      <c r="AY13" s="441"/>
      <c r="AZ13" s="442"/>
    </row>
    <row r="14" spans="1:76" ht="14.25">
      <c r="B14" s="437">
        <f t="shared" si="0"/>
        <v>7</v>
      </c>
      <c r="C14" s="255" t="s">
        <v>184</v>
      </c>
      <c r="D14" s="438" t="s">
        <v>358</v>
      </c>
      <c r="E14" s="438" t="s">
        <v>796</v>
      </c>
      <c r="F14" s="438" t="s">
        <v>683</v>
      </c>
      <c r="G14" s="443">
        <v>505.76</v>
      </c>
      <c r="H14" s="443">
        <v>599.00191359999997</v>
      </c>
      <c r="I14" s="440" t="s">
        <v>797</v>
      </c>
      <c r="J14" s="441"/>
      <c r="K14" s="441"/>
      <c r="L14" s="441"/>
      <c r="M14" s="440" t="s">
        <v>797</v>
      </c>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511" t="s">
        <v>797</v>
      </c>
      <c r="AS14" s="441"/>
      <c r="AT14" s="441"/>
      <c r="AU14" s="441"/>
      <c r="AV14" s="511" t="s">
        <v>797</v>
      </c>
      <c r="AW14" s="441"/>
      <c r="AX14" s="441"/>
      <c r="AY14" s="441"/>
      <c r="AZ14" s="442"/>
    </row>
    <row r="15" spans="1:76" ht="14.25">
      <c r="B15" s="437">
        <f t="shared" si="0"/>
        <v>8</v>
      </c>
      <c r="C15" s="255" t="s">
        <v>187</v>
      </c>
      <c r="D15" s="438" t="s">
        <v>358</v>
      </c>
      <c r="E15" s="438" t="s">
        <v>796</v>
      </c>
      <c r="F15" s="438" t="s">
        <v>683</v>
      </c>
      <c r="G15" s="443">
        <v>547.98</v>
      </c>
      <c r="H15" s="443">
        <v>649</v>
      </c>
      <c r="I15" s="440" t="s">
        <v>797</v>
      </c>
      <c r="J15" s="441"/>
      <c r="K15" s="441"/>
      <c r="L15" s="441"/>
      <c r="M15" s="440" t="s">
        <v>797</v>
      </c>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511" t="s">
        <v>797</v>
      </c>
      <c r="AS15" s="441"/>
      <c r="AT15" s="441"/>
      <c r="AU15" s="441"/>
      <c r="AV15" s="511" t="s">
        <v>797</v>
      </c>
      <c r="AW15" s="441"/>
      <c r="AX15" s="441"/>
      <c r="AY15" s="441"/>
      <c r="AZ15" s="442"/>
    </row>
    <row r="16" spans="1:76" ht="14.25">
      <c r="B16" s="437">
        <f t="shared" si="0"/>
        <v>9</v>
      </c>
      <c r="C16" s="255" t="s">
        <v>189</v>
      </c>
      <c r="D16" s="438" t="s">
        <v>358</v>
      </c>
      <c r="E16" s="438" t="s">
        <v>796</v>
      </c>
      <c r="F16" s="438" t="s">
        <v>683</v>
      </c>
      <c r="G16" s="443">
        <v>843.5</v>
      </c>
      <c r="H16" s="443">
        <v>999</v>
      </c>
      <c r="I16" s="440" t="s">
        <v>797</v>
      </c>
      <c r="J16" s="441"/>
      <c r="K16" s="441"/>
      <c r="L16" s="441"/>
      <c r="M16" s="440" t="s">
        <v>797</v>
      </c>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511" t="s">
        <v>797</v>
      </c>
      <c r="AS16" s="441"/>
      <c r="AT16" s="441"/>
      <c r="AU16" s="441"/>
      <c r="AV16" s="511" t="s">
        <v>797</v>
      </c>
      <c r="AW16" s="441"/>
      <c r="AX16" s="441"/>
      <c r="AY16" s="441"/>
      <c r="AZ16" s="442"/>
    </row>
    <row r="17" spans="2:52" ht="14.25">
      <c r="B17" s="437">
        <f t="shared" si="0"/>
        <v>10</v>
      </c>
      <c r="C17" s="255" t="s">
        <v>191</v>
      </c>
      <c r="D17" s="438" t="s">
        <v>358</v>
      </c>
      <c r="E17" s="438" t="s">
        <v>796</v>
      </c>
      <c r="F17" s="438" t="s">
        <v>683</v>
      </c>
      <c r="G17" s="443">
        <v>1181.23</v>
      </c>
      <c r="H17" s="443">
        <v>1399</v>
      </c>
      <c r="I17" s="440" t="s">
        <v>797</v>
      </c>
      <c r="J17" s="441"/>
      <c r="K17" s="441"/>
      <c r="L17" s="441"/>
      <c r="M17" s="440" t="s">
        <v>797</v>
      </c>
      <c r="N17" s="441"/>
      <c r="O17" s="441"/>
      <c r="P17" s="441"/>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511" t="s">
        <v>797</v>
      </c>
      <c r="AS17" s="441"/>
      <c r="AT17" s="441"/>
      <c r="AU17" s="441"/>
      <c r="AV17" s="511" t="s">
        <v>797</v>
      </c>
      <c r="AW17" s="441"/>
      <c r="AX17" s="441"/>
      <c r="AY17" s="441"/>
      <c r="AZ17" s="442"/>
    </row>
    <row r="18" spans="2:52" ht="14.25">
      <c r="B18" s="437">
        <f t="shared" si="0"/>
        <v>11</v>
      </c>
      <c r="C18" s="255" t="s">
        <v>167</v>
      </c>
      <c r="D18" s="438" t="s">
        <v>358</v>
      </c>
      <c r="E18" s="438" t="s">
        <v>798</v>
      </c>
      <c r="F18" s="438" t="s">
        <v>683</v>
      </c>
      <c r="G18" s="443">
        <v>240.52</v>
      </c>
      <c r="H18" s="443">
        <v>279</v>
      </c>
      <c r="I18" s="440" t="s">
        <v>797</v>
      </c>
      <c r="J18" s="441"/>
      <c r="K18" s="441"/>
      <c r="L18" s="441"/>
      <c r="M18" s="440" t="s">
        <v>797</v>
      </c>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511" t="s">
        <v>797</v>
      </c>
      <c r="AS18" s="441"/>
      <c r="AT18" s="441"/>
      <c r="AU18" s="441"/>
      <c r="AV18" s="511" t="s">
        <v>797</v>
      </c>
      <c r="AW18" s="441"/>
      <c r="AX18" s="441"/>
      <c r="AY18" s="441"/>
      <c r="AZ18" s="442"/>
    </row>
    <row r="19" spans="2:52" ht="14.25">
      <c r="B19" s="437">
        <f t="shared" si="0"/>
        <v>12</v>
      </c>
      <c r="C19" s="126" t="s">
        <v>170</v>
      </c>
      <c r="D19" s="438" t="s">
        <v>358</v>
      </c>
      <c r="E19" s="438" t="s">
        <v>798</v>
      </c>
      <c r="F19" s="438" t="s">
        <v>683</v>
      </c>
      <c r="G19" s="443">
        <v>257.76</v>
      </c>
      <c r="H19" s="443">
        <v>299</v>
      </c>
      <c r="I19" s="440" t="s">
        <v>797</v>
      </c>
      <c r="J19" s="441"/>
      <c r="K19" s="441"/>
      <c r="L19" s="441"/>
      <c r="M19" s="440" t="s">
        <v>797</v>
      </c>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511" t="s">
        <v>797</v>
      </c>
      <c r="AS19" s="441"/>
      <c r="AT19" s="441"/>
      <c r="AU19" s="441"/>
      <c r="AV19" s="511" t="s">
        <v>797</v>
      </c>
      <c r="AW19" s="441"/>
      <c r="AX19" s="441"/>
      <c r="AY19" s="441"/>
      <c r="AZ19" s="442"/>
    </row>
    <row r="20" spans="2:52" ht="14.25">
      <c r="B20" s="437">
        <f t="shared" si="0"/>
        <v>13</v>
      </c>
      <c r="C20" s="255" t="s">
        <v>174</v>
      </c>
      <c r="D20" s="438" t="s">
        <v>358</v>
      </c>
      <c r="E20" s="438" t="s">
        <v>798</v>
      </c>
      <c r="F20" s="438" t="s">
        <v>683</v>
      </c>
      <c r="G20" s="443">
        <v>300.86</v>
      </c>
      <c r="H20" s="443">
        <v>348.99759999999998</v>
      </c>
      <c r="I20" s="440" t="s">
        <v>797</v>
      </c>
      <c r="J20" s="441"/>
      <c r="K20" s="441"/>
      <c r="L20" s="441"/>
      <c r="M20" s="440" t="s">
        <v>797</v>
      </c>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511" t="s">
        <v>797</v>
      </c>
      <c r="AS20" s="441"/>
      <c r="AT20" s="441"/>
      <c r="AU20" s="441"/>
      <c r="AV20" s="511" t="s">
        <v>797</v>
      </c>
      <c r="AW20" s="441"/>
      <c r="AX20" s="441"/>
      <c r="AY20" s="441"/>
      <c r="AZ20" s="442"/>
    </row>
    <row r="21" spans="2:52" ht="14.25">
      <c r="B21" s="437">
        <f t="shared" si="0"/>
        <v>14</v>
      </c>
      <c r="C21" s="255" t="s">
        <v>178</v>
      </c>
      <c r="D21" s="438" t="s">
        <v>358</v>
      </c>
      <c r="E21" s="438" t="s">
        <v>798</v>
      </c>
      <c r="F21" s="438" t="s">
        <v>683</v>
      </c>
      <c r="G21" s="443">
        <v>343.97</v>
      </c>
      <c r="H21" s="443">
        <v>398.99520000000001</v>
      </c>
      <c r="I21" s="440" t="s">
        <v>797</v>
      </c>
      <c r="J21" s="441"/>
      <c r="K21" s="441"/>
      <c r="L21" s="441"/>
      <c r="M21" s="440" t="s">
        <v>797</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511" t="s">
        <v>797</v>
      </c>
      <c r="AS21" s="441"/>
      <c r="AT21" s="441"/>
      <c r="AU21" s="441"/>
      <c r="AV21" s="511" t="s">
        <v>797</v>
      </c>
      <c r="AW21" s="441"/>
      <c r="AX21" s="441"/>
      <c r="AY21" s="441"/>
      <c r="AZ21" s="442"/>
    </row>
    <row r="22" spans="2:52" ht="14.25">
      <c r="B22" s="437">
        <f t="shared" si="0"/>
        <v>15</v>
      </c>
      <c r="C22" s="255" t="s">
        <v>181</v>
      </c>
      <c r="D22" s="438" t="s">
        <v>358</v>
      </c>
      <c r="E22" s="438" t="s">
        <v>798</v>
      </c>
      <c r="F22" s="438" t="s">
        <v>683</v>
      </c>
      <c r="G22" s="443">
        <v>387.07</v>
      </c>
      <c r="H22" s="443">
        <v>449</v>
      </c>
      <c r="I22" s="440" t="s">
        <v>797</v>
      </c>
      <c r="J22" s="441"/>
      <c r="K22" s="441"/>
      <c r="L22" s="441"/>
      <c r="M22" s="440" t="s">
        <v>797</v>
      </c>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511" t="s">
        <v>797</v>
      </c>
      <c r="AS22" s="441"/>
      <c r="AT22" s="441"/>
      <c r="AU22" s="441"/>
      <c r="AV22" s="511" t="s">
        <v>797</v>
      </c>
      <c r="AW22" s="441"/>
      <c r="AX22" s="441"/>
      <c r="AY22" s="441"/>
      <c r="AZ22" s="442"/>
    </row>
    <row r="23" spans="2:52" ht="14.25">
      <c r="B23" s="437">
        <f t="shared" si="0"/>
        <v>16</v>
      </c>
      <c r="C23" s="255" t="s">
        <v>183</v>
      </c>
      <c r="D23" s="438" t="s">
        <v>358</v>
      </c>
      <c r="E23" s="438" t="s">
        <v>798</v>
      </c>
      <c r="F23" s="438" t="s">
        <v>683</v>
      </c>
      <c r="G23" s="443">
        <v>473.28</v>
      </c>
      <c r="H23" s="443">
        <v>549</v>
      </c>
      <c r="I23" s="440" t="s">
        <v>797</v>
      </c>
      <c r="J23" s="441"/>
      <c r="K23" s="441"/>
      <c r="L23" s="441"/>
      <c r="M23" s="440" t="s">
        <v>797</v>
      </c>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511" t="s">
        <v>797</v>
      </c>
      <c r="AS23" s="441"/>
      <c r="AT23" s="441"/>
      <c r="AU23" s="441"/>
      <c r="AV23" s="511" t="s">
        <v>797</v>
      </c>
      <c r="AW23" s="441"/>
      <c r="AX23" s="441"/>
      <c r="AY23" s="441"/>
      <c r="AZ23" s="442"/>
    </row>
    <row r="24" spans="2:52" ht="14.25">
      <c r="B24" s="437">
        <f t="shared" si="0"/>
        <v>17</v>
      </c>
      <c r="C24" s="255" t="s">
        <v>185</v>
      </c>
      <c r="D24" s="438" t="s">
        <v>358</v>
      </c>
      <c r="E24" s="438" t="s">
        <v>798</v>
      </c>
      <c r="F24" s="438" t="s">
        <v>683</v>
      </c>
      <c r="G24" s="443">
        <v>775</v>
      </c>
      <c r="H24" s="443">
        <v>898.99999999999989</v>
      </c>
      <c r="I24" s="440" t="s">
        <v>797</v>
      </c>
      <c r="J24" s="441"/>
      <c r="K24" s="441"/>
      <c r="L24" s="441"/>
      <c r="M24" s="440" t="s">
        <v>797</v>
      </c>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511" t="s">
        <v>797</v>
      </c>
      <c r="AS24" s="441"/>
      <c r="AT24" s="441"/>
      <c r="AU24" s="441"/>
      <c r="AV24" s="511" t="s">
        <v>797</v>
      </c>
      <c r="AW24" s="441"/>
      <c r="AX24" s="441"/>
      <c r="AY24" s="441"/>
      <c r="AZ24" s="442"/>
    </row>
    <row r="25" spans="2:52" ht="14.25">
      <c r="B25" s="437">
        <f t="shared" si="0"/>
        <v>18</v>
      </c>
      <c r="C25" s="255" t="s">
        <v>195</v>
      </c>
      <c r="D25" s="438" t="s">
        <v>359</v>
      </c>
      <c r="E25" s="438" t="s">
        <v>796</v>
      </c>
      <c r="F25" s="438" t="s">
        <v>683</v>
      </c>
      <c r="G25" s="443">
        <v>336.9</v>
      </c>
      <c r="H25" s="443">
        <v>399</v>
      </c>
      <c r="I25" s="440" t="s">
        <v>797</v>
      </c>
      <c r="J25" s="441"/>
      <c r="K25" s="441"/>
      <c r="L25" s="441"/>
      <c r="M25" s="440" t="s">
        <v>797</v>
      </c>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c r="AR25" s="511" t="s">
        <v>797</v>
      </c>
      <c r="AS25" s="441"/>
      <c r="AT25" s="441"/>
      <c r="AU25" s="441"/>
      <c r="AV25" s="511" t="s">
        <v>797</v>
      </c>
      <c r="AW25" s="441"/>
      <c r="AX25" s="441"/>
      <c r="AY25" s="441"/>
      <c r="AZ25" s="442"/>
    </row>
    <row r="26" spans="2:52" ht="14.25">
      <c r="B26" s="437">
        <f t="shared" si="0"/>
        <v>19</v>
      </c>
      <c r="C26" s="255" t="s">
        <v>197</v>
      </c>
      <c r="D26" s="438" t="s">
        <v>359</v>
      </c>
      <c r="E26" s="438" t="s">
        <v>796</v>
      </c>
      <c r="F26" s="438" t="s">
        <v>683</v>
      </c>
      <c r="G26" s="443">
        <v>463.55</v>
      </c>
      <c r="H26" s="443">
        <v>549</v>
      </c>
      <c r="I26" s="440" t="s">
        <v>797</v>
      </c>
      <c r="J26" s="441"/>
      <c r="K26" s="441"/>
      <c r="L26" s="441"/>
      <c r="M26" s="440" t="s">
        <v>797</v>
      </c>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511" t="s">
        <v>797</v>
      </c>
      <c r="AS26" s="441"/>
      <c r="AT26" s="441"/>
      <c r="AU26" s="441"/>
      <c r="AV26" s="511" t="s">
        <v>797</v>
      </c>
      <c r="AW26" s="441"/>
      <c r="AX26" s="441"/>
      <c r="AY26" s="441"/>
      <c r="AZ26" s="442"/>
    </row>
    <row r="27" spans="2:52" ht="14.25">
      <c r="B27" s="437">
        <f t="shared" si="0"/>
        <v>20</v>
      </c>
      <c r="C27" s="255" t="s">
        <v>199</v>
      </c>
      <c r="D27" s="438" t="s">
        <v>359</v>
      </c>
      <c r="E27" s="438" t="s">
        <v>796</v>
      </c>
      <c r="F27" s="438" t="s">
        <v>683</v>
      </c>
      <c r="G27" s="443">
        <v>547.98</v>
      </c>
      <c r="H27" s="443">
        <v>649</v>
      </c>
      <c r="I27" s="440" t="s">
        <v>797</v>
      </c>
      <c r="J27" s="441"/>
      <c r="K27" s="441"/>
      <c r="L27" s="441"/>
      <c r="M27" s="440" t="s">
        <v>797</v>
      </c>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511" t="s">
        <v>797</v>
      </c>
      <c r="AS27" s="441"/>
      <c r="AT27" s="441"/>
      <c r="AU27" s="441"/>
      <c r="AV27" s="511" t="s">
        <v>797</v>
      </c>
      <c r="AW27" s="441"/>
      <c r="AX27" s="441"/>
      <c r="AY27" s="441"/>
      <c r="AZ27" s="442"/>
    </row>
    <row r="28" spans="2:52" ht="14.25">
      <c r="B28" s="437">
        <f t="shared" si="0"/>
        <v>21</v>
      </c>
      <c r="C28" s="255" t="s">
        <v>201</v>
      </c>
      <c r="D28" s="438" t="s">
        <v>359</v>
      </c>
      <c r="E28" s="438" t="s">
        <v>796</v>
      </c>
      <c r="F28" s="438" t="s">
        <v>683</v>
      </c>
      <c r="G28" s="443">
        <v>674.64</v>
      </c>
      <c r="H28" s="443">
        <v>799</v>
      </c>
      <c r="I28" s="440" t="s">
        <v>797</v>
      </c>
      <c r="J28" s="441"/>
      <c r="K28" s="441"/>
      <c r="L28" s="441"/>
      <c r="M28" s="440" t="s">
        <v>797</v>
      </c>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511" t="s">
        <v>797</v>
      </c>
      <c r="AS28" s="441"/>
      <c r="AT28" s="441"/>
      <c r="AU28" s="441"/>
      <c r="AV28" s="511" t="s">
        <v>797</v>
      </c>
      <c r="AW28" s="441"/>
      <c r="AX28" s="441"/>
      <c r="AY28" s="441"/>
      <c r="AZ28" s="442"/>
    </row>
    <row r="29" spans="2:52" ht="14.25">
      <c r="B29" s="437">
        <f t="shared" si="0"/>
        <v>22</v>
      </c>
      <c r="C29" s="255" t="s">
        <v>203</v>
      </c>
      <c r="D29" s="438" t="s">
        <v>359</v>
      </c>
      <c r="E29" s="438" t="s">
        <v>796</v>
      </c>
      <c r="F29" s="438" t="s">
        <v>683</v>
      </c>
      <c r="G29" s="443">
        <v>843.5</v>
      </c>
      <c r="H29" s="443">
        <v>999</v>
      </c>
      <c r="I29" s="440" t="s">
        <v>797</v>
      </c>
      <c r="J29" s="441"/>
      <c r="K29" s="441"/>
      <c r="L29" s="441"/>
      <c r="M29" s="440" t="s">
        <v>797</v>
      </c>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511" t="s">
        <v>797</v>
      </c>
      <c r="AS29" s="441"/>
      <c r="AT29" s="441"/>
      <c r="AU29" s="441"/>
      <c r="AV29" s="511" t="s">
        <v>797</v>
      </c>
      <c r="AW29" s="441"/>
      <c r="AX29" s="441"/>
      <c r="AY29" s="441"/>
      <c r="AZ29" s="442"/>
    </row>
    <row r="30" spans="2:52" ht="14.25">
      <c r="B30" s="437">
        <f t="shared" si="0"/>
        <v>23</v>
      </c>
      <c r="C30" s="255" t="s">
        <v>205</v>
      </c>
      <c r="D30" s="438" t="s">
        <v>359</v>
      </c>
      <c r="E30" s="438" t="s">
        <v>796</v>
      </c>
      <c r="F30" s="438" t="s">
        <v>683</v>
      </c>
      <c r="G30" s="443">
        <v>1265.6600000000001</v>
      </c>
      <c r="H30" s="443">
        <v>1499</v>
      </c>
      <c r="I30" s="440" t="s">
        <v>797</v>
      </c>
      <c r="J30" s="441"/>
      <c r="K30" s="441"/>
      <c r="L30" s="441"/>
      <c r="M30" s="440" t="s">
        <v>797</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511" t="s">
        <v>797</v>
      </c>
      <c r="AS30" s="441"/>
      <c r="AT30" s="441"/>
      <c r="AU30" s="441"/>
      <c r="AV30" s="511" t="s">
        <v>797</v>
      </c>
      <c r="AW30" s="441"/>
      <c r="AX30" s="441"/>
      <c r="AY30" s="441"/>
      <c r="AZ30" s="442"/>
    </row>
    <row r="31" spans="2:52" ht="14.25">
      <c r="B31" s="437">
        <f t="shared" si="0"/>
        <v>24</v>
      </c>
      <c r="C31" s="255" t="s">
        <v>206</v>
      </c>
      <c r="D31" s="438" t="s">
        <v>359</v>
      </c>
      <c r="E31" s="438" t="s">
        <v>796</v>
      </c>
      <c r="F31" s="438" t="s">
        <v>683</v>
      </c>
      <c r="G31" s="443">
        <v>1510.52</v>
      </c>
      <c r="H31" s="443">
        <v>1789</v>
      </c>
      <c r="I31" s="440" t="s">
        <v>797</v>
      </c>
      <c r="J31" s="441"/>
      <c r="K31" s="441"/>
      <c r="L31" s="441"/>
      <c r="M31" s="440" t="s">
        <v>797</v>
      </c>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511" t="s">
        <v>797</v>
      </c>
      <c r="AS31" s="441"/>
      <c r="AT31" s="441"/>
      <c r="AU31" s="441"/>
      <c r="AV31" s="511" t="s">
        <v>797</v>
      </c>
      <c r="AW31" s="441"/>
      <c r="AX31" s="441"/>
      <c r="AY31" s="441"/>
      <c r="AZ31" s="442"/>
    </row>
    <row r="32" spans="2:52" ht="14.25">
      <c r="B32" s="437">
        <f t="shared" si="0"/>
        <v>25</v>
      </c>
      <c r="C32" s="255" t="s">
        <v>207</v>
      </c>
      <c r="D32" s="438" t="s">
        <v>359</v>
      </c>
      <c r="E32" s="438" t="s">
        <v>796</v>
      </c>
      <c r="F32" s="438" t="s">
        <v>683</v>
      </c>
      <c r="G32" s="443">
        <v>1932.69</v>
      </c>
      <c r="H32" s="443">
        <v>2289</v>
      </c>
      <c r="I32" s="440" t="s">
        <v>797</v>
      </c>
      <c r="J32" s="441"/>
      <c r="K32" s="441"/>
      <c r="L32" s="441"/>
      <c r="M32" s="440" t="s">
        <v>797</v>
      </c>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511" t="s">
        <v>797</v>
      </c>
      <c r="AS32" s="441"/>
      <c r="AT32" s="441"/>
      <c r="AU32" s="441"/>
      <c r="AV32" s="511" t="s">
        <v>797</v>
      </c>
      <c r="AW32" s="441"/>
      <c r="AX32" s="441"/>
      <c r="AY32" s="441"/>
      <c r="AZ32" s="442"/>
    </row>
    <row r="33" spans="2:52" ht="14.25">
      <c r="B33" s="437">
        <f t="shared" si="0"/>
        <v>26</v>
      </c>
      <c r="C33" s="126" t="s">
        <v>188</v>
      </c>
      <c r="D33" s="438" t="s">
        <v>359</v>
      </c>
      <c r="E33" s="438" t="s">
        <v>798</v>
      </c>
      <c r="F33" s="438" t="s">
        <v>683</v>
      </c>
      <c r="G33" s="443">
        <v>257.76</v>
      </c>
      <c r="H33" s="443">
        <v>299</v>
      </c>
      <c r="I33" s="440" t="s">
        <v>797</v>
      </c>
      <c r="J33" s="441"/>
      <c r="K33" s="441"/>
      <c r="L33" s="441"/>
      <c r="M33" s="440" t="s">
        <v>797</v>
      </c>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511" t="s">
        <v>797</v>
      </c>
      <c r="AS33" s="441"/>
      <c r="AT33" s="441"/>
      <c r="AU33" s="441"/>
      <c r="AV33" s="511" t="s">
        <v>797</v>
      </c>
      <c r="AW33" s="441"/>
      <c r="AX33" s="441"/>
      <c r="AY33" s="441"/>
      <c r="AZ33" s="442"/>
    </row>
    <row r="34" spans="2:52" ht="14.25">
      <c r="B34" s="437">
        <f t="shared" si="0"/>
        <v>27</v>
      </c>
      <c r="C34" s="255" t="s">
        <v>190</v>
      </c>
      <c r="D34" s="438" t="s">
        <v>359</v>
      </c>
      <c r="E34" s="438" t="s">
        <v>798</v>
      </c>
      <c r="F34" s="438" t="s">
        <v>683</v>
      </c>
      <c r="G34" s="443">
        <v>300.86</v>
      </c>
      <c r="H34" s="443">
        <v>348.99759999999998</v>
      </c>
      <c r="I34" s="440" t="s">
        <v>797</v>
      </c>
      <c r="J34" s="441"/>
      <c r="K34" s="441"/>
      <c r="L34" s="441"/>
      <c r="M34" s="440" t="s">
        <v>797</v>
      </c>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511" t="s">
        <v>797</v>
      </c>
      <c r="AS34" s="441"/>
      <c r="AT34" s="441"/>
      <c r="AU34" s="441"/>
      <c r="AV34" s="511" t="s">
        <v>797</v>
      </c>
      <c r="AW34" s="441"/>
      <c r="AX34" s="441"/>
      <c r="AY34" s="441"/>
      <c r="AZ34" s="442"/>
    </row>
    <row r="35" spans="2:52" ht="14.25">
      <c r="B35" s="437">
        <f t="shared" si="0"/>
        <v>28</v>
      </c>
      <c r="C35" s="255" t="s">
        <v>192</v>
      </c>
      <c r="D35" s="438" t="s">
        <v>359</v>
      </c>
      <c r="E35" s="438" t="s">
        <v>798</v>
      </c>
      <c r="F35" s="438" t="s">
        <v>683</v>
      </c>
      <c r="G35" s="443">
        <v>343.97</v>
      </c>
      <c r="H35" s="443">
        <v>398.99520000000001</v>
      </c>
      <c r="I35" s="440" t="s">
        <v>797</v>
      </c>
      <c r="J35" s="441"/>
      <c r="K35" s="441"/>
      <c r="L35" s="441"/>
      <c r="M35" s="440" t="s">
        <v>797</v>
      </c>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511" t="s">
        <v>797</v>
      </c>
      <c r="AS35" s="441"/>
      <c r="AT35" s="441"/>
      <c r="AU35" s="441"/>
      <c r="AV35" s="511" t="s">
        <v>797</v>
      </c>
      <c r="AW35" s="441"/>
      <c r="AX35" s="441"/>
      <c r="AY35" s="441"/>
      <c r="AZ35" s="442"/>
    </row>
    <row r="36" spans="2:52" ht="14.25">
      <c r="B36" s="437">
        <f t="shared" si="0"/>
        <v>29</v>
      </c>
      <c r="C36" s="255" t="s">
        <v>193</v>
      </c>
      <c r="D36" s="438" t="s">
        <v>359</v>
      </c>
      <c r="E36" s="438" t="s">
        <v>798</v>
      </c>
      <c r="F36" s="438" t="s">
        <v>683</v>
      </c>
      <c r="G36" s="443">
        <v>387.07</v>
      </c>
      <c r="H36" s="443">
        <v>449</v>
      </c>
      <c r="I36" s="440" t="s">
        <v>797</v>
      </c>
      <c r="J36" s="441"/>
      <c r="K36" s="441"/>
      <c r="L36" s="441"/>
      <c r="M36" s="440" t="s">
        <v>797</v>
      </c>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511" t="s">
        <v>797</v>
      </c>
      <c r="AS36" s="441"/>
      <c r="AT36" s="441"/>
      <c r="AU36" s="441"/>
      <c r="AV36" s="511" t="s">
        <v>797</v>
      </c>
      <c r="AW36" s="441"/>
      <c r="AX36" s="441"/>
      <c r="AY36" s="441"/>
      <c r="AZ36" s="442"/>
    </row>
    <row r="37" spans="2:52" ht="14.25">
      <c r="B37" s="437">
        <f t="shared" si="0"/>
        <v>30</v>
      </c>
      <c r="C37" s="255" t="s">
        <v>194</v>
      </c>
      <c r="D37" s="438" t="s">
        <v>359</v>
      </c>
      <c r="E37" s="438" t="s">
        <v>798</v>
      </c>
      <c r="F37" s="438" t="s">
        <v>683</v>
      </c>
      <c r="G37" s="443">
        <v>473.28</v>
      </c>
      <c r="H37" s="443">
        <v>549</v>
      </c>
      <c r="I37" s="440" t="s">
        <v>797</v>
      </c>
      <c r="J37" s="441"/>
      <c r="K37" s="441"/>
      <c r="L37" s="441"/>
      <c r="M37" s="440" t="s">
        <v>797</v>
      </c>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511" t="s">
        <v>797</v>
      </c>
      <c r="AS37" s="441"/>
      <c r="AT37" s="441"/>
      <c r="AU37" s="441"/>
      <c r="AV37" s="511" t="s">
        <v>797</v>
      </c>
      <c r="AW37" s="441"/>
      <c r="AX37" s="441"/>
      <c r="AY37" s="441"/>
      <c r="AZ37" s="442"/>
    </row>
    <row r="38" spans="2:52" ht="14.25">
      <c r="B38" s="437">
        <f t="shared" si="0"/>
        <v>31</v>
      </c>
      <c r="C38" s="255" t="s">
        <v>196</v>
      </c>
      <c r="D38" s="438" t="s">
        <v>359</v>
      </c>
      <c r="E38" s="438" t="s">
        <v>798</v>
      </c>
      <c r="F38" s="438" t="s">
        <v>683</v>
      </c>
      <c r="G38" s="443">
        <v>775</v>
      </c>
      <c r="H38" s="443">
        <v>898.99999999999989</v>
      </c>
      <c r="I38" s="440" t="s">
        <v>797</v>
      </c>
      <c r="J38" s="441"/>
      <c r="K38" s="441"/>
      <c r="L38" s="441"/>
      <c r="M38" s="440" t="s">
        <v>797</v>
      </c>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511" t="s">
        <v>797</v>
      </c>
      <c r="AS38" s="441"/>
      <c r="AT38" s="441"/>
      <c r="AU38" s="441"/>
      <c r="AV38" s="511" t="s">
        <v>797</v>
      </c>
      <c r="AW38" s="441"/>
      <c r="AX38" s="441"/>
      <c r="AY38" s="441"/>
      <c r="AZ38" s="442"/>
    </row>
    <row r="39" spans="2:52" ht="14.25">
      <c r="B39" s="437">
        <f t="shared" si="0"/>
        <v>32</v>
      </c>
      <c r="C39" s="255" t="s">
        <v>198</v>
      </c>
      <c r="D39" s="438" t="s">
        <v>359</v>
      </c>
      <c r="E39" s="438" t="s">
        <v>798</v>
      </c>
      <c r="F39" s="438" t="s">
        <v>683</v>
      </c>
      <c r="G39" s="89">
        <v>349</v>
      </c>
      <c r="H39" s="89">
        <v>404.84</v>
      </c>
      <c r="I39" s="440" t="s">
        <v>797</v>
      </c>
      <c r="J39" s="441"/>
      <c r="K39" s="441"/>
      <c r="L39" s="441"/>
      <c r="M39" s="440" t="s">
        <v>797</v>
      </c>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511" t="s">
        <v>797</v>
      </c>
      <c r="AS39" s="441"/>
      <c r="AT39" s="441"/>
      <c r="AU39" s="441"/>
      <c r="AV39" s="511" t="s">
        <v>797</v>
      </c>
      <c r="AW39" s="441"/>
      <c r="AX39" s="441"/>
      <c r="AY39" s="441" t="s">
        <v>797</v>
      </c>
      <c r="AZ39" s="442"/>
    </row>
    <row r="40" spans="2:52" ht="14.25">
      <c r="B40" s="437">
        <f t="shared" si="0"/>
        <v>33</v>
      </c>
      <c r="C40" s="255" t="s">
        <v>200</v>
      </c>
      <c r="D40" s="438" t="s">
        <v>359</v>
      </c>
      <c r="E40" s="438" t="s">
        <v>798</v>
      </c>
      <c r="F40" s="438" t="s">
        <v>683</v>
      </c>
      <c r="G40" s="89">
        <v>608.69000000000005</v>
      </c>
      <c r="H40" s="89">
        <v>706.08</v>
      </c>
      <c r="I40" s="440" t="s">
        <v>797</v>
      </c>
      <c r="J40" s="441"/>
      <c r="K40" s="441"/>
      <c r="L40" s="441"/>
      <c r="M40" s="440" t="s">
        <v>797</v>
      </c>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511" t="s">
        <v>797</v>
      </c>
      <c r="AS40" s="441"/>
      <c r="AT40" s="441"/>
      <c r="AU40" s="441"/>
      <c r="AV40" s="511" t="s">
        <v>797</v>
      </c>
      <c r="AW40" s="441"/>
      <c r="AX40" s="441"/>
      <c r="AY40" s="441" t="s">
        <v>797</v>
      </c>
      <c r="AZ40" s="442"/>
    </row>
    <row r="41" spans="2:52" ht="14.25">
      <c r="B41" s="437">
        <f t="shared" si="0"/>
        <v>34</v>
      </c>
      <c r="C41" s="255" t="s">
        <v>202</v>
      </c>
      <c r="D41" s="438" t="s">
        <v>359</v>
      </c>
      <c r="E41" s="438" t="s">
        <v>798</v>
      </c>
      <c r="F41" s="438" t="s">
        <v>683</v>
      </c>
      <c r="G41" s="89">
        <v>1042.5999999999999</v>
      </c>
      <c r="H41" s="89">
        <v>1209.42</v>
      </c>
      <c r="I41" s="440" t="s">
        <v>797</v>
      </c>
      <c r="J41" s="441"/>
      <c r="K41" s="441"/>
      <c r="L41" s="441"/>
      <c r="M41" s="440" t="s">
        <v>797</v>
      </c>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441"/>
      <c r="AR41" s="511" t="s">
        <v>797</v>
      </c>
      <c r="AS41" s="441"/>
      <c r="AT41" s="441"/>
      <c r="AU41" s="441"/>
      <c r="AV41" s="511" t="s">
        <v>797</v>
      </c>
      <c r="AW41" s="441"/>
      <c r="AX41" s="441"/>
      <c r="AY41" s="441" t="s">
        <v>797</v>
      </c>
      <c r="AZ41" s="442"/>
    </row>
    <row r="42" spans="2:52" ht="14.25">
      <c r="B42" s="437">
        <f t="shared" si="0"/>
        <v>35</v>
      </c>
      <c r="C42" s="255" t="s">
        <v>518</v>
      </c>
      <c r="D42" s="438" t="s">
        <v>359</v>
      </c>
      <c r="E42" s="438" t="s">
        <v>796</v>
      </c>
      <c r="F42" s="438" t="s">
        <v>683</v>
      </c>
      <c r="G42" s="89">
        <v>509.31</v>
      </c>
      <c r="H42" s="89">
        <v>599</v>
      </c>
      <c r="I42" s="440" t="s">
        <v>797</v>
      </c>
      <c r="J42" s="441"/>
      <c r="K42" s="441"/>
      <c r="L42" s="441"/>
      <c r="M42" s="440" t="s">
        <v>797</v>
      </c>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511" t="s">
        <v>797</v>
      </c>
      <c r="AS42" s="441"/>
      <c r="AT42" s="441"/>
      <c r="AU42" s="441" t="s">
        <v>797</v>
      </c>
      <c r="AV42" s="511" t="s">
        <v>797</v>
      </c>
      <c r="AW42" s="441" t="s">
        <v>797</v>
      </c>
      <c r="AX42" s="441" t="s">
        <v>797</v>
      </c>
      <c r="AY42" s="441" t="s">
        <v>797</v>
      </c>
      <c r="AZ42" s="442"/>
    </row>
    <row r="43" spans="2:52" ht="14.25">
      <c r="B43" s="437">
        <f t="shared" si="0"/>
        <v>36</v>
      </c>
      <c r="C43" s="255" t="s">
        <v>521</v>
      </c>
      <c r="D43" s="438" t="s">
        <v>359</v>
      </c>
      <c r="E43" s="438" t="s">
        <v>796</v>
      </c>
      <c r="F43" s="438" t="s">
        <v>683</v>
      </c>
      <c r="G43" s="89">
        <v>679.07</v>
      </c>
      <c r="H43" s="89">
        <v>799</v>
      </c>
      <c r="I43" s="440" t="s">
        <v>797</v>
      </c>
      <c r="J43" s="441"/>
      <c r="K43" s="441"/>
      <c r="L43" s="441"/>
      <c r="M43" s="440" t="s">
        <v>797</v>
      </c>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511" t="s">
        <v>797</v>
      </c>
      <c r="AS43" s="441"/>
      <c r="AT43" s="441"/>
      <c r="AU43" s="441" t="s">
        <v>797</v>
      </c>
      <c r="AV43" s="511" t="s">
        <v>797</v>
      </c>
      <c r="AW43" s="441" t="s">
        <v>797</v>
      </c>
      <c r="AX43" s="441" t="s">
        <v>797</v>
      </c>
      <c r="AY43" s="441" t="s">
        <v>797</v>
      </c>
      <c r="AZ43" s="442"/>
    </row>
    <row r="44" spans="2:52" ht="14.25">
      <c r="B44" s="437">
        <f t="shared" si="0"/>
        <v>37</v>
      </c>
      <c r="C44" s="255" t="s">
        <v>744</v>
      </c>
      <c r="D44" s="438" t="s">
        <v>359</v>
      </c>
      <c r="E44" s="438" t="s">
        <v>796</v>
      </c>
      <c r="F44" s="438" t="s">
        <v>683</v>
      </c>
      <c r="G44" s="89">
        <v>933.26</v>
      </c>
      <c r="H44" s="89">
        <v>1098.9992</v>
      </c>
      <c r="I44" s="440" t="s">
        <v>797</v>
      </c>
      <c r="J44" s="441"/>
      <c r="K44" s="441"/>
      <c r="L44" s="441"/>
      <c r="M44" s="440" t="s">
        <v>797</v>
      </c>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1"/>
      <c r="AO44" s="441"/>
      <c r="AP44" s="441"/>
      <c r="AQ44" s="441"/>
      <c r="AR44" s="511" t="s">
        <v>797</v>
      </c>
      <c r="AS44" s="441"/>
      <c r="AT44" s="441"/>
      <c r="AU44" s="441" t="s">
        <v>797</v>
      </c>
      <c r="AV44" s="511" t="s">
        <v>797</v>
      </c>
      <c r="AW44" s="441" t="s">
        <v>797</v>
      </c>
      <c r="AX44" s="441" t="s">
        <v>797</v>
      </c>
      <c r="AY44" s="441" t="s">
        <v>797</v>
      </c>
      <c r="AZ44" s="442"/>
    </row>
    <row r="45" spans="2:52" ht="14.25">
      <c r="B45" s="437">
        <f t="shared" si="0"/>
        <v>38</v>
      </c>
      <c r="C45" s="255" t="s">
        <v>502</v>
      </c>
      <c r="D45" s="438" t="s">
        <v>359</v>
      </c>
      <c r="E45" s="438" t="s">
        <v>796</v>
      </c>
      <c r="F45" s="438" t="s">
        <v>683</v>
      </c>
      <c r="G45" s="89">
        <v>1610.49</v>
      </c>
      <c r="H45" s="89">
        <v>1899.0028</v>
      </c>
      <c r="I45" s="440" t="s">
        <v>797</v>
      </c>
      <c r="J45" s="441"/>
      <c r="K45" s="441"/>
      <c r="L45" s="441"/>
      <c r="M45" s="440" t="s">
        <v>797</v>
      </c>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511" t="s">
        <v>797</v>
      </c>
      <c r="AS45" s="441"/>
      <c r="AT45" s="441"/>
      <c r="AU45" s="441" t="s">
        <v>797</v>
      </c>
      <c r="AV45" s="511" t="s">
        <v>797</v>
      </c>
      <c r="AW45" s="441" t="s">
        <v>797</v>
      </c>
      <c r="AX45" s="441" t="s">
        <v>797</v>
      </c>
      <c r="AY45" s="441" t="s">
        <v>797</v>
      </c>
      <c r="AZ45" s="442"/>
    </row>
    <row r="46" spans="2:52" ht="14.25">
      <c r="B46" s="437">
        <f t="shared" si="0"/>
        <v>39</v>
      </c>
      <c r="C46" s="255" t="s">
        <v>504</v>
      </c>
      <c r="D46" s="438" t="s">
        <v>359</v>
      </c>
      <c r="E46" s="438" t="s">
        <v>796</v>
      </c>
      <c r="F46" s="438" t="s">
        <v>683</v>
      </c>
      <c r="G46" s="89">
        <v>1898.45</v>
      </c>
      <c r="H46" s="89">
        <v>2238.9987999999998</v>
      </c>
      <c r="I46" s="440" t="s">
        <v>797</v>
      </c>
      <c r="J46" s="441"/>
      <c r="K46" s="441"/>
      <c r="L46" s="441"/>
      <c r="M46" s="440" t="s">
        <v>797</v>
      </c>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511" t="s">
        <v>797</v>
      </c>
      <c r="AS46" s="441"/>
      <c r="AT46" s="441"/>
      <c r="AU46" s="441" t="s">
        <v>797</v>
      </c>
      <c r="AV46" s="511" t="s">
        <v>797</v>
      </c>
      <c r="AW46" s="441" t="s">
        <v>797</v>
      </c>
      <c r="AX46" s="441" t="s">
        <v>797</v>
      </c>
      <c r="AY46" s="441" t="s">
        <v>797</v>
      </c>
      <c r="AZ46" s="442"/>
    </row>
    <row r="47" spans="2:52" ht="14.25">
      <c r="B47" s="437">
        <f t="shared" si="0"/>
        <v>40</v>
      </c>
      <c r="C47" s="255" t="s">
        <v>506</v>
      </c>
      <c r="D47" s="438" t="s">
        <v>359</v>
      </c>
      <c r="E47" s="438" t="s">
        <v>796</v>
      </c>
      <c r="F47" s="438" t="s">
        <v>683</v>
      </c>
      <c r="G47" s="89">
        <v>2363.7200000000003</v>
      </c>
      <c r="H47" s="89">
        <v>2789.0047999999997</v>
      </c>
      <c r="I47" s="440" t="s">
        <v>797</v>
      </c>
      <c r="J47" s="441"/>
      <c r="K47" s="441"/>
      <c r="L47" s="441"/>
      <c r="M47" s="440" t="s">
        <v>797</v>
      </c>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511" t="s">
        <v>797</v>
      </c>
      <c r="AS47" s="441"/>
      <c r="AT47" s="441"/>
      <c r="AU47" s="441" t="s">
        <v>797</v>
      </c>
      <c r="AV47" s="511" t="s">
        <v>797</v>
      </c>
      <c r="AW47" s="441" t="s">
        <v>797</v>
      </c>
      <c r="AX47" s="441" t="s">
        <v>797</v>
      </c>
      <c r="AY47" s="441" t="s">
        <v>797</v>
      </c>
      <c r="AZ47" s="442"/>
    </row>
    <row r="48" spans="2:52" ht="14.25">
      <c r="B48" s="437">
        <f t="shared" si="0"/>
        <v>41</v>
      </c>
      <c r="C48" s="255"/>
      <c r="D48" s="438"/>
      <c r="E48" s="438"/>
      <c r="F48" s="438"/>
      <c r="G48" s="89"/>
      <c r="H48" s="89"/>
      <c r="I48" s="89"/>
      <c r="J48" s="441"/>
      <c r="K48" s="441"/>
      <c r="L48" s="441"/>
      <c r="M48" s="89"/>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441"/>
      <c r="AP48" s="441"/>
      <c r="AQ48" s="441"/>
      <c r="AR48" s="89"/>
      <c r="AS48" s="441"/>
      <c r="AT48" s="441"/>
      <c r="AU48" s="441"/>
      <c r="AV48" s="89"/>
      <c r="AW48" s="441"/>
      <c r="AX48" s="441"/>
      <c r="AY48" s="441"/>
      <c r="AZ48" s="442"/>
    </row>
    <row r="49" spans="1:52" ht="14.25">
      <c r="A49" s="571" t="s">
        <v>799</v>
      </c>
      <c r="B49" s="437">
        <f t="shared" si="0"/>
        <v>42</v>
      </c>
      <c r="C49" s="255"/>
      <c r="D49" s="438"/>
      <c r="E49" s="438"/>
      <c r="F49" s="438"/>
      <c r="G49" s="89"/>
      <c r="H49" s="89"/>
      <c r="I49" s="89"/>
      <c r="J49" s="441"/>
      <c r="K49" s="441"/>
      <c r="L49" s="441"/>
      <c r="M49" s="89"/>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89"/>
      <c r="AS49" s="441"/>
      <c r="AT49" s="441"/>
      <c r="AU49" s="441"/>
      <c r="AV49" s="89"/>
      <c r="AW49" s="441"/>
      <c r="AX49" s="441"/>
      <c r="AY49" s="441"/>
      <c r="AZ49" s="442"/>
    </row>
    <row r="50" spans="1:52" ht="14.25">
      <c r="A50" s="571" t="s">
        <v>800</v>
      </c>
      <c r="B50" s="437">
        <f t="shared" si="0"/>
        <v>43</v>
      </c>
      <c r="C50" s="255"/>
      <c r="D50" s="438"/>
      <c r="E50" s="438"/>
      <c r="F50" s="438"/>
      <c r="G50" s="89"/>
      <c r="H50" s="89"/>
      <c r="I50" s="89"/>
      <c r="J50" s="441"/>
      <c r="K50" s="441"/>
      <c r="L50" s="441"/>
      <c r="M50" s="89"/>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Q50" s="441"/>
      <c r="AR50" s="89"/>
      <c r="AS50" s="441"/>
      <c r="AT50" s="441"/>
      <c r="AU50" s="441"/>
      <c r="AV50" s="89"/>
      <c r="AW50" s="441"/>
      <c r="AX50" s="441"/>
      <c r="AY50" s="441"/>
      <c r="AZ50" s="442"/>
    </row>
    <row r="51" spans="1:52" ht="14.25">
      <c r="A51" s="571" t="s">
        <v>801</v>
      </c>
      <c r="B51" s="437">
        <f t="shared" si="0"/>
        <v>44</v>
      </c>
      <c r="C51" s="255"/>
      <c r="D51" s="438"/>
      <c r="E51" s="438"/>
      <c r="F51" s="438"/>
      <c r="G51" s="89"/>
      <c r="H51" s="89"/>
      <c r="I51" s="89"/>
      <c r="J51" s="441"/>
      <c r="K51" s="441"/>
      <c r="L51" s="441"/>
      <c r="M51" s="89"/>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89"/>
      <c r="AS51" s="441"/>
      <c r="AT51" s="441"/>
      <c r="AU51" s="441"/>
      <c r="AV51" s="89"/>
      <c r="AW51" s="441"/>
      <c r="AX51" s="441"/>
      <c r="AY51" s="441"/>
      <c r="AZ51" s="442"/>
    </row>
    <row r="52" spans="1:52" ht="14.25">
      <c r="A52" s="571" t="s">
        <v>802</v>
      </c>
      <c r="B52" s="437">
        <f t="shared" si="0"/>
        <v>45</v>
      </c>
      <c r="C52" s="255"/>
      <c r="D52" s="438"/>
      <c r="E52" s="438"/>
      <c r="F52" s="438"/>
      <c r="G52" s="89"/>
      <c r="H52" s="89"/>
      <c r="I52" s="89"/>
      <c r="J52" s="441"/>
      <c r="K52" s="441"/>
      <c r="L52" s="441"/>
      <c r="M52" s="89"/>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89"/>
      <c r="AS52" s="441"/>
      <c r="AT52" s="441"/>
      <c r="AU52" s="441"/>
      <c r="AV52" s="89"/>
      <c r="AW52" s="441"/>
      <c r="AX52" s="441"/>
      <c r="AY52" s="441"/>
      <c r="AZ52" s="442"/>
    </row>
    <row r="53" spans="1:52" ht="14.25">
      <c r="A53" s="571" t="s">
        <v>803</v>
      </c>
      <c r="B53" s="437">
        <f t="shared" si="0"/>
        <v>46</v>
      </c>
      <c r="C53" s="255"/>
      <c r="D53" s="438"/>
      <c r="E53" s="438"/>
      <c r="F53" s="438"/>
      <c r="G53" s="89"/>
      <c r="H53" s="89"/>
      <c r="I53" s="89"/>
      <c r="J53" s="441"/>
      <c r="K53" s="441"/>
      <c r="L53" s="441"/>
      <c r="M53" s="89"/>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89"/>
      <c r="AS53" s="441"/>
      <c r="AT53" s="441"/>
      <c r="AU53" s="441"/>
      <c r="AV53" s="89"/>
      <c r="AW53" s="441"/>
      <c r="AX53" s="441"/>
      <c r="AY53" s="441"/>
      <c r="AZ53" s="442"/>
    </row>
    <row r="54" spans="1:52" ht="14.25" hidden="1" outlineLevel="1">
      <c r="B54" s="437">
        <f t="shared" si="0"/>
        <v>47</v>
      </c>
      <c r="C54" s="255"/>
      <c r="D54" s="438"/>
      <c r="E54" s="438"/>
      <c r="F54" s="438"/>
      <c r="G54" s="89"/>
      <c r="H54" s="89"/>
      <c r="I54" s="89"/>
      <c r="J54" s="441"/>
      <c r="K54" s="441"/>
      <c r="L54" s="441"/>
      <c r="M54" s="89"/>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1"/>
      <c r="AN54" s="441"/>
      <c r="AO54" s="441"/>
      <c r="AP54" s="441"/>
      <c r="AQ54" s="441"/>
      <c r="AR54" s="89"/>
      <c r="AS54" s="441"/>
      <c r="AT54" s="441"/>
      <c r="AU54" s="441"/>
      <c r="AV54" s="89"/>
      <c r="AW54" s="441"/>
      <c r="AX54" s="441"/>
      <c r="AY54" s="441"/>
      <c r="AZ54" s="442"/>
    </row>
    <row r="55" spans="1:52" ht="14.25" hidden="1" outlineLevel="1">
      <c r="B55" s="437">
        <f t="shared" si="0"/>
        <v>48</v>
      </c>
      <c r="C55" s="255"/>
      <c r="D55" s="438"/>
      <c r="E55" s="438"/>
      <c r="F55" s="438"/>
      <c r="G55" s="89"/>
      <c r="H55" s="89"/>
      <c r="I55" s="89"/>
      <c r="J55" s="441"/>
      <c r="K55" s="441"/>
      <c r="L55" s="441"/>
      <c r="M55" s="89"/>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89"/>
      <c r="AS55" s="441"/>
      <c r="AT55" s="441"/>
      <c r="AU55" s="441"/>
      <c r="AV55" s="89"/>
      <c r="AW55" s="441"/>
      <c r="AX55" s="441"/>
      <c r="AY55" s="441"/>
      <c r="AZ55" s="442"/>
    </row>
    <row r="56" spans="1:52" ht="14.25" hidden="1" outlineLevel="1">
      <c r="B56" s="437">
        <f t="shared" si="0"/>
        <v>49</v>
      </c>
      <c r="C56" s="255"/>
      <c r="D56" s="438"/>
      <c r="E56" s="438"/>
      <c r="F56" s="438"/>
      <c r="G56" s="89"/>
      <c r="H56" s="89"/>
      <c r="I56" s="89"/>
      <c r="J56" s="441"/>
      <c r="K56" s="441"/>
      <c r="L56" s="441"/>
      <c r="M56" s="89"/>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89"/>
      <c r="AS56" s="441"/>
      <c r="AT56" s="441"/>
      <c r="AU56" s="441"/>
      <c r="AV56" s="89"/>
      <c r="AW56" s="441"/>
      <c r="AX56" s="441"/>
      <c r="AY56" s="441"/>
      <c r="AZ56" s="442"/>
    </row>
    <row r="57" spans="1:52" ht="14.25" hidden="1" outlineLevel="1">
      <c r="B57" s="437">
        <f t="shared" si="0"/>
        <v>50</v>
      </c>
      <c r="C57" s="255"/>
      <c r="D57" s="438"/>
      <c r="E57" s="438"/>
      <c r="F57" s="438"/>
      <c r="G57" s="89"/>
      <c r="H57" s="89"/>
      <c r="I57" s="89"/>
      <c r="J57" s="441"/>
      <c r="K57" s="441"/>
      <c r="L57" s="441"/>
      <c r="M57" s="89"/>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89"/>
      <c r="AS57" s="441"/>
      <c r="AT57" s="441"/>
      <c r="AU57" s="441"/>
      <c r="AV57" s="89"/>
      <c r="AW57" s="441"/>
      <c r="AX57" s="441"/>
      <c r="AY57" s="441"/>
      <c r="AZ57" s="442"/>
    </row>
    <row r="58" spans="1:52" ht="14.25" hidden="1" outlineLevel="1">
      <c r="B58" s="437">
        <f t="shared" si="0"/>
        <v>51</v>
      </c>
      <c r="C58" s="255"/>
      <c r="D58" s="438"/>
      <c r="E58" s="438"/>
      <c r="F58" s="438"/>
      <c r="G58" s="89"/>
      <c r="H58" s="89"/>
      <c r="I58" s="89"/>
      <c r="J58" s="441"/>
      <c r="K58" s="441"/>
      <c r="L58" s="441"/>
      <c r="M58" s="89"/>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89"/>
      <c r="AS58" s="441"/>
      <c r="AT58" s="441"/>
      <c r="AU58" s="441"/>
      <c r="AV58" s="89"/>
      <c r="AW58" s="441"/>
      <c r="AX58" s="441"/>
      <c r="AY58" s="441"/>
      <c r="AZ58" s="442"/>
    </row>
    <row r="59" spans="1:52" ht="14.25" hidden="1" outlineLevel="1">
      <c r="B59" s="437">
        <f t="shared" si="0"/>
        <v>52</v>
      </c>
      <c r="C59" s="255"/>
      <c r="D59" s="438"/>
      <c r="E59" s="438"/>
      <c r="F59" s="438"/>
      <c r="G59" s="89"/>
      <c r="H59" s="89"/>
      <c r="I59" s="89"/>
      <c r="J59" s="441"/>
      <c r="K59" s="441"/>
      <c r="L59" s="441"/>
      <c r="M59" s="89"/>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89"/>
      <c r="AS59" s="441"/>
      <c r="AT59" s="441"/>
      <c r="AU59" s="441"/>
      <c r="AV59" s="89"/>
      <c r="AW59" s="441"/>
      <c r="AX59" s="441"/>
      <c r="AY59" s="441"/>
      <c r="AZ59" s="442"/>
    </row>
    <row r="60" spans="1:52" ht="14.25" hidden="1" outlineLevel="1">
      <c r="B60" s="437">
        <f t="shared" si="0"/>
        <v>53</v>
      </c>
      <c r="C60" s="255"/>
      <c r="D60" s="438"/>
      <c r="E60" s="438"/>
      <c r="F60" s="438"/>
      <c r="G60" s="89"/>
      <c r="H60" s="89"/>
      <c r="I60" s="89"/>
      <c r="J60" s="441"/>
      <c r="K60" s="441"/>
      <c r="L60" s="441"/>
      <c r="M60" s="89"/>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89"/>
      <c r="AS60" s="441"/>
      <c r="AT60" s="441"/>
      <c r="AU60" s="441"/>
      <c r="AV60" s="89"/>
      <c r="AW60" s="441"/>
      <c r="AX60" s="441"/>
      <c r="AY60" s="441"/>
      <c r="AZ60" s="442"/>
    </row>
    <row r="61" spans="1:52" ht="14.25" hidden="1" outlineLevel="1">
      <c r="B61" s="437">
        <f t="shared" si="0"/>
        <v>54</v>
      </c>
      <c r="C61" s="255"/>
      <c r="D61" s="438"/>
      <c r="E61" s="438"/>
      <c r="F61" s="438"/>
      <c r="G61" s="89"/>
      <c r="H61" s="89"/>
      <c r="I61" s="89"/>
      <c r="J61" s="441"/>
      <c r="K61" s="441"/>
      <c r="L61" s="441"/>
      <c r="M61" s="89"/>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89"/>
      <c r="AS61" s="441"/>
      <c r="AT61" s="441"/>
      <c r="AU61" s="441"/>
      <c r="AV61" s="89"/>
      <c r="AW61" s="441"/>
      <c r="AX61" s="441"/>
      <c r="AY61" s="441"/>
      <c r="AZ61" s="442"/>
    </row>
    <row r="62" spans="1:52" ht="14.25" hidden="1" outlineLevel="1">
      <c r="B62" s="437">
        <f t="shared" si="0"/>
        <v>55</v>
      </c>
      <c r="C62" s="255"/>
      <c r="D62" s="438"/>
      <c r="E62" s="438"/>
      <c r="F62" s="438"/>
      <c r="G62" s="89"/>
      <c r="H62" s="89"/>
      <c r="I62" s="89"/>
      <c r="J62" s="441"/>
      <c r="K62" s="441"/>
      <c r="L62" s="441"/>
      <c r="M62" s="89"/>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89"/>
      <c r="AS62" s="441"/>
      <c r="AT62" s="441"/>
      <c r="AU62" s="441"/>
      <c r="AV62" s="89"/>
      <c r="AW62" s="441"/>
      <c r="AX62" s="441"/>
      <c r="AY62" s="441"/>
      <c r="AZ62" s="442"/>
    </row>
    <row r="63" spans="1:52" ht="14.25" hidden="1" outlineLevel="1">
      <c r="B63" s="437">
        <f t="shared" si="0"/>
        <v>56</v>
      </c>
      <c r="C63" s="255"/>
      <c r="D63" s="438"/>
      <c r="E63" s="438"/>
      <c r="F63" s="438"/>
      <c r="G63" s="89"/>
      <c r="H63" s="89"/>
      <c r="I63" s="89"/>
      <c r="J63" s="441"/>
      <c r="K63" s="441"/>
      <c r="L63" s="441"/>
      <c r="M63" s="89"/>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89"/>
      <c r="AS63" s="441"/>
      <c r="AT63" s="441"/>
      <c r="AU63" s="441"/>
      <c r="AV63" s="89"/>
      <c r="AW63" s="441"/>
      <c r="AX63" s="441"/>
      <c r="AY63" s="441"/>
      <c r="AZ63" s="442"/>
    </row>
    <row r="64" spans="1:52" ht="14.25" hidden="1" outlineLevel="1">
      <c r="B64" s="437">
        <f t="shared" si="0"/>
        <v>57</v>
      </c>
      <c r="C64" s="255"/>
      <c r="D64" s="438"/>
      <c r="E64" s="438"/>
      <c r="F64" s="438"/>
      <c r="G64" s="89"/>
      <c r="H64" s="89"/>
      <c r="I64" s="89"/>
      <c r="J64" s="441"/>
      <c r="K64" s="441"/>
      <c r="L64" s="441"/>
      <c r="M64" s="89"/>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89"/>
      <c r="AS64" s="441"/>
      <c r="AT64" s="441"/>
      <c r="AU64" s="441"/>
      <c r="AV64" s="89"/>
      <c r="AW64" s="441"/>
      <c r="AX64" s="441"/>
      <c r="AY64" s="441"/>
      <c r="AZ64" s="442"/>
    </row>
    <row r="65" spans="2:52" ht="14.25" hidden="1" outlineLevel="1">
      <c r="B65" s="437">
        <f t="shared" si="0"/>
        <v>58</v>
      </c>
      <c r="C65" s="255"/>
      <c r="D65" s="438"/>
      <c r="E65" s="438"/>
      <c r="F65" s="438"/>
      <c r="G65" s="89"/>
      <c r="H65" s="89"/>
      <c r="I65" s="89"/>
      <c r="J65" s="441"/>
      <c r="K65" s="441"/>
      <c r="L65" s="441"/>
      <c r="M65" s="89"/>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89"/>
      <c r="AS65" s="441"/>
      <c r="AT65" s="441"/>
      <c r="AU65" s="441"/>
      <c r="AV65" s="89"/>
      <c r="AW65" s="441"/>
      <c r="AX65" s="441"/>
      <c r="AY65" s="441"/>
      <c r="AZ65" s="442"/>
    </row>
    <row r="66" spans="2:52" ht="14.25" hidden="1" outlineLevel="1">
      <c r="B66" s="437">
        <f t="shared" si="0"/>
        <v>59</v>
      </c>
      <c r="C66" s="255"/>
      <c r="D66" s="438"/>
      <c r="E66" s="438"/>
      <c r="F66" s="438"/>
      <c r="G66" s="89"/>
      <c r="H66" s="89"/>
      <c r="I66" s="89"/>
      <c r="J66" s="441"/>
      <c r="K66" s="441"/>
      <c r="L66" s="441"/>
      <c r="M66" s="89"/>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89"/>
      <c r="AS66" s="441"/>
      <c r="AT66" s="441"/>
      <c r="AU66" s="441"/>
      <c r="AV66" s="89"/>
      <c r="AW66" s="441"/>
      <c r="AX66" s="441"/>
      <c r="AY66" s="441"/>
      <c r="AZ66" s="442"/>
    </row>
    <row r="67" spans="2:52" ht="14.25" hidden="1" outlineLevel="1">
      <c r="B67" s="437">
        <f t="shared" si="0"/>
        <v>60</v>
      </c>
      <c r="C67" s="255"/>
      <c r="D67" s="438"/>
      <c r="E67" s="438"/>
      <c r="F67" s="438"/>
      <c r="G67" s="89"/>
      <c r="H67" s="89"/>
      <c r="I67" s="89"/>
      <c r="J67" s="441"/>
      <c r="K67" s="441"/>
      <c r="L67" s="441"/>
      <c r="M67" s="89"/>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89"/>
      <c r="AS67" s="441"/>
      <c r="AT67" s="441"/>
      <c r="AU67" s="441"/>
      <c r="AV67" s="89"/>
      <c r="AW67" s="441"/>
      <c r="AX67" s="441"/>
      <c r="AY67" s="441"/>
      <c r="AZ67" s="442"/>
    </row>
    <row r="68" spans="2:52" ht="14.25" hidden="1" outlineLevel="1">
      <c r="B68" s="437">
        <f t="shared" si="0"/>
        <v>61</v>
      </c>
      <c r="C68" s="255"/>
      <c r="D68" s="438"/>
      <c r="E68" s="438"/>
      <c r="F68" s="438"/>
      <c r="G68" s="89"/>
      <c r="H68" s="89"/>
      <c r="I68" s="89"/>
      <c r="J68" s="441"/>
      <c r="K68" s="441"/>
      <c r="L68" s="441"/>
      <c r="M68" s="89"/>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89"/>
      <c r="AS68" s="441"/>
      <c r="AT68" s="441"/>
      <c r="AU68" s="441"/>
      <c r="AV68" s="89"/>
      <c r="AW68" s="441"/>
      <c r="AX68" s="441"/>
      <c r="AY68" s="441"/>
      <c r="AZ68" s="442"/>
    </row>
    <row r="69" spans="2:52" ht="14.25" hidden="1" outlineLevel="1">
      <c r="B69" s="437">
        <f t="shared" si="0"/>
        <v>62</v>
      </c>
      <c r="C69" s="255"/>
      <c r="D69" s="438"/>
      <c r="E69" s="438"/>
      <c r="F69" s="438"/>
      <c r="G69" s="89"/>
      <c r="H69" s="89"/>
      <c r="I69" s="89"/>
      <c r="J69" s="441"/>
      <c r="K69" s="441"/>
      <c r="L69" s="441"/>
      <c r="M69" s="89"/>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c r="AN69" s="441"/>
      <c r="AO69" s="441"/>
      <c r="AP69" s="441"/>
      <c r="AQ69" s="441"/>
      <c r="AR69" s="89"/>
      <c r="AS69" s="441"/>
      <c r="AT69" s="441"/>
      <c r="AU69" s="441"/>
      <c r="AV69" s="89"/>
      <c r="AW69" s="441"/>
      <c r="AX69" s="441"/>
      <c r="AY69" s="441"/>
      <c r="AZ69" s="442"/>
    </row>
    <row r="70" spans="2:52" ht="14.25" hidden="1" outlineLevel="1">
      <c r="B70" s="437">
        <f t="shared" si="0"/>
        <v>63</v>
      </c>
      <c r="C70" s="255"/>
      <c r="D70" s="438"/>
      <c r="E70" s="438"/>
      <c r="F70" s="438"/>
      <c r="G70" s="89"/>
      <c r="H70" s="89"/>
      <c r="I70" s="89"/>
      <c r="J70" s="441"/>
      <c r="K70" s="441"/>
      <c r="L70" s="441"/>
      <c r="M70" s="89"/>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89"/>
      <c r="AS70" s="441"/>
      <c r="AT70" s="441"/>
      <c r="AU70" s="441"/>
      <c r="AV70" s="89"/>
      <c r="AW70" s="441"/>
      <c r="AX70" s="441"/>
      <c r="AY70" s="441"/>
      <c r="AZ70" s="442"/>
    </row>
    <row r="71" spans="2:52" ht="14.25" hidden="1" outlineLevel="1">
      <c r="B71" s="437">
        <f t="shared" si="0"/>
        <v>64</v>
      </c>
      <c r="C71" s="255"/>
      <c r="D71" s="438"/>
      <c r="E71" s="438"/>
      <c r="F71" s="438"/>
      <c r="G71" s="89"/>
      <c r="H71" s="89"/>
      <c r="I71" s="89"/>
      <c r="J71" s="441"/>
      <c r="K71" s="441"/>
      <c r="L71" s="441"/>
      <c r="M71" s="89"/>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441"/>
      <c r="AK71" s="441"/>
      <c r="AL71" s="441"/>
      <c r="AM71" s="441"/>
      <c r="AN71" s="441"/>
      <c r="AO71" s="441"/>
      <c r="AP71" s="441"/>
      <c r="AQ71" s="441"/>
      <c r="AR71" s="89"/>
      <c r="AS71" s="441"/>
      <c r="AT71" s="441"/>
      <c r="AU71" s="441"/>
      <c r="AV71" s="89"/>
      <c r="AW71" s="441"/>
      <c r="AX71" s="441"/>
      <c r="AY71" s="441"/>
      <c r="AZ71" s="442"/>
    </row>
    <row r="72" spans="2:52" ht="14.25" hidden="1" outlineLevel="1">
      <c r="B72" s="437">
        <f t="shared" si="0"/>
        <v>65</v>
      </c>
      <c r="C72" s="255"/>
      <c r="D72" s="438"/>
      <c r="E72" s="438"/>
      <c r="F72" s="438"/>
      <c r="G72" s="89"/>
      <c r="H72" s="89"/>
      <c r="I72" s="89"/>
      <c r="J72" s="441"/>
      <c r="K72" s="441"/>
      <c r="L72" s="441"/>
      <c r="M72" s="89"/>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441"/>
      <c r="AK72" s="441"/>
      <c r="AL72" s="441"/>
      <c r="AM72" s="441"/>
      <c r="AN72" s="441"/>
      <c r="AO72" s="441"/>
      <c r="AP72" s="441"/>
      <c r="AQ72" s="441"/>
      <c r="AR72" s="89"/>
      <c r="AS72" s="441"/>
      <c r="AT72" s="441"/>
      <c r="AU72" s="441"/>
      <c r="AV72" s="89"/>
      <c r="AW72" s="441"/>
      <c r="AX72" s="441"/>
      <c r="AY72" s="441"/>
      <c r="AZ72" s="442"/>
    </row>
    <row r="73" spans="2:52" ht="14.25" hidden="1" outlineLevel="1">
      <c r="B73" s="437">
        <f t="shared" si="0"/>
        <v>66</v>
      </c>
      <c r="C73" s="255"/>
      <c r="D73" s="438"/>
      <c r="E73" s="438"/>
      <c r="F73" s="438"/>
      <c r="G73" s="89"/>
      <c r="H73" s="89"/>
      <c r="I73" s="89"/>
      <c r="J73" s="441"/>
      <c r="K73" s="441"/>
      <c r="L73" s="441"/>
      <c r="M73" s="89"/>
      <c r="N73" s="441"/>
      <c r="O73" s="441"/>
      <c r="P73" s="441"/>
      <c r="Q73" s="441"/>
      <c r="R73" s="441"/>
      <c r="S73" s="441"/>
      <c r="T73" s="441"/>
      <c r="U73" s="441"/>
      <c r="V73" s="441"/>
      <c r="W73" s="441"/>
      <c r="X73" s="441"/>
      <c r="Y73" s="441"/>
      <c r="Z73" s="441"/>
      <c r="AA73" s="441"/>
      <c r="AB73" s="441"/>
      <c r="AC73" s="441"/>
      <c r="AD73" s="441"/>
      <c r="AE73" s="441"/>
      <c r="AF73" s="441"/>
      <c r="AG73" s="441"/>
      <c r="AH73" s="441"/>
      <c r="AI73" s="441"/>
      <c r="AJ73" s="441"/>
      <c r="AK73" s="441"/>
      <c r="AL73" s="441"/>
      <c r="AM73" s="441"/>
      <c r="AN73" s="441"/>
      <c r="AO73" s="441"/>
      <c r="AP73" s="441"/>
      <c r="AQ73" s="441"/>
      <c r="AR73" s="89"/>
      <c r="AS73" s="441"/>
      <c r="AT73" s="441"/>
      <c r="AU73" s="441"/>
      <c r="AV73" s="89"/>
      <c r="AW73" s="441"/>
      <c r="AX73" s="441"/>
      <c r="AY73" s="441"/>
      <c r="AZ73" s="442"/>
    </row>
    <row r="74" spans="2:52" ht="14.25" hidden="1" outlineLevel="1">
      <c r="B74" s="437">
        <f t="shared" ref="B74:B87" si="1">1+B73</f>
        <v>67</v>
      </c>
      <c r="C74" s="255"/>
      <c r="D74" s="438"/>
      <c r="E74" s="438"/>
      <c r="F74" s="438"/>
      <c r="G74" s="89"/>
      <c r="H74" s="89"/>
      <c r="I74" s="89"/>
      <c r="J74" s="441"/>
      <c r="K74" s="441"/>
      <c r="L74" s="441"/>
      <c r="M74" s="89"/>
      <c r="N74" s="441"/>
      <c r="O74" s="441"/>
      <c r="P74" s="441"/>
      <c r="Q74" s="441"/>
      <c r="R74" s="441"/>
      <c r="S74" s="441"/>
      <c r="T74" s="441"/>
      <c r="U74" s="441"/>
      <c r="V74" s="441"/>
      <c r="W74" s="441"/>
      <c r="X74" s="441"/>
      <c r="Y74" s="441"/>
      <c r="Z74" s="441"/>
      <c r="AA74" s="441"/>
      <c r="AB74" s="441"/>
      <c r="AC74" s="441"/>
      <c r="AD74" s="441"/>
      <c r="AE74" s="441"/>
      <c r="AF74" s="441"/>
      <c r="AG74" s="441"/>
      <c r="AH74" s="441"/>
      <c r="AI74" s="441"/>
      <c r="AJ74" s="441"/>
      <c r="AK74" s="441"/>
      <c r="AL74" s="441"/>
      <c r="AM74" s="441"/>
      <c r="AN74" s="441"/>
      <c r="AO74" s="441"/>
      <c r="AP74" s="441"/>
      <c r="AQ74" s="441"/>
      <c r="AR74" s="89"/>
      <c r="AS74" s="441"/>
      <c r="AT74" s="441"/>
      <c r="AU74" s="441"/>
      <c r="AV74" s="89"/>
      <c r="AW74" s="441"/>
      <c r="AX74" s="441"/>
      <c r="AY74" s="441"/>
      <c r="AZ74" s="442"/>
    </row>
    <row r="75" spans="2:52" ht="14.25" hidden="1" outlineLevel="1">
      <c r="B75" s="437">
        <f t="shared" si="1"/>
        <v>68</v>
      </c>
      <c r="C75" s="255"/>
      <c r="D75" s="438"/>
      <c r="E75" s="438"/>
      <c r="F75" s="438"/>
      <c r="G75" s="89"/>
      <c r="H75" s="89"/>
      <c r="I75" s="89"/>
      <c r="J75" s="441"/>
      <c r="K75" s="441"/>
      <c r="L75" s="441"/>
      <c r="M75" s="89"/>
      <c r="N75" s="441"/>
      <c r="O75" s="441"/>
      <c r="P75" s="441"/>
      <c r="Q75" s="441"/>
      <c r="R75" s="441"/>
      <c r="S75" s="441"/>
      <c r="T75" s="441"/>
      <c r="U75" s="441"/>
      <c r="V75" s="441"/>
      <c r="W75" s="441"/>
      <c r="X75" s="441"/>
      <c r="Y75" s="441"/>
      <c r="Z75" s="441"/>
      <c r="AA75" s="441"/>
      <c r="AB75" s="441"/>
      <c r="AC75" s="441"/>
      <c r="AD75" s="441"/>
      <c r="AE75" s="441"/>
      <c r="AF75" s="441"/>
      <c r="AG75" s="441"/>
      <c r="AH75" s="441"/>
      <c r="AI75" s="441"/>
      <c r="AJ75" s="441"/>
      <c r="AK75" s="441"/>
      <c r="AL75" s="441"/>
      <c r="AM75" s="441"/>
      <c r="AN75" s="441"/>
      <c r="AO75" s="441"/>
      <c r="AP75" s="441"/>
      <c r="AQ75" s="441"/>
      <c r="AR75" s="89"/>
      <c r="AS75" s="441"/>
      <c r="AT75" s="441"/>
      <c r="AU75" s="441"/>
      <c r="AV75" s="89"/>
      <c r="AW75" s="441"/>
      <c r="AX75" s="441"/>
      <c r="AY75" s="441"/>
      <c r="AZ75" s="442"/>
    </row>
    <row r="76" spans="2:52" ht="14.25" hidden="1" outlineLevel="1">
      <c r="B76" s="437">
        <f t="shared" si="1"/>
        <v>69</v>
      </c>
      <c r="C76" s="255"/>
      <c r="D76" s="438"/>
      <c r="E76" s="438"/>
      <c r="F76" s="438"/>
      <c r="G76" s="89"/>
      <c r="H76" s="89"/>
      <c r="I76" s="89"/>
      <c r="J76" s="441"/>
      <c r="K76" s="441"/>
      <c r="L76" s="441"/>
      <c r="M76" s="89"/>
      <c r="N76" s="441"/>
      <c r="O76" s="441"/>
      <c r="P76" s="441"/>
      <c r="Q76" s="441"/>
      <c r="R76" s="441"/>
      <c r="S76" s="441"/>
      <c r="T76" s="441"/>
      <c r="U76" s="441"/>
      <c r="V76" s="441"/>
      <c r="W76" s="441"/>
      <c r="X76" s="441"/>
      <c r="Y76" s="441"/>
      <c r="Z76" s="441"/>
      <c r="AA76" s="441"/>
      <c r="AB76" s="441"/>
      <c r="AC76" s="441"/>
      <c r="AD76" s="441"/>
      <c r="AE76" s="441"/>
      <c r="AF76" s="441"/>
      <c r="AG76" s="441"/>
      <c r="AH76" s="441"/>
      <c r="AI76" s="441"/>
      <c r="AJ76" s="441"/>
      <c r="AK76" s="441"/>
      <c r="AL76" s="441"/>
      <c r="AM76" s="441"/>
      <c r="AN76" s="441"/>
      <c r="AO76" s="441"/>
      <c r="AP76" s="441"/>
      <c r="AQ76" s="441"/>
      <c r="AR76" s="89"/>
      <c r="AS76" s="441"/>
      <c r="AT76" s="441"/>
      <c r="AU76" s="441"/>
      <c r="AV76" s="89"/>
      <c r="AW76" s="441"/>
      <c r="AX76" s="441"/>
      <c r="AY76" s="441"/>
      <c r="AZ76" s="442"/>
    </row>
    <row r="77" spans="2:52" ht="14.25" hidden="1" outlineLevel="1">
      <c r="B77" s="437">
        <f t="shared" si="1"/>
        <v>70</v>
      </c>
      <c r="C77" s="255"/>
      <c r="D77" s="438"/>
      <c r="E77" s="438"/>
      <c r="F77" s="438"/>
      <c r="G77" s="89"/>
      <c r="H77" s="89"/>
      <c r="I77" s="89"/>
      <c r="J77" s="441"/>
      <c r="K77" s="441"/>
      <c r="L77" s="441"/>
      <c r="M77" s="89"/>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441"/>
      <c r="AN77" s="441"/>
      <c r="AO77" s="441"/>
      <c r="AP77" s="441"/>
      <c r="AQ77" s="441"/>
      <c r="AR77" s="89"/>
      <c r="AS77" s="441"/>
      <c r="AT77" s="441"/>
      <c r="AU77" s="441"/>
      <c r="AV77" s="89"/>
      <c r="AW77" s="441"/>
      <c r="AX77" s="441"/>
      <c r="AY77" s="441"/>
      <c r="AZ77" s="442"/>
    </row>
    <row r="78" spans="2:52" ht="14.25" hidden="1" outlineLevel="1">
      <c r="B78" s="437">
        <f t="shared" si="1"/>
        <v>71</v>
      </c>
      <c r="C78" s="255"/>
      <c r="D78" s="438"/>
      <c r="E78" s="438"/>
      <c r="F78" s="438"/>
      <c r="G78" s="89"/>
      <c r="H78" s="89"/>
      <c r="I78" s="89"/>
      <c r="J78" s="441"/>
      <c r="K78" s="441"/>
      <c r="L78" s="441"/>
      <c r="M78" s="89"/>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41"/>
      <c r="AK78" s="441"/>
      <c r="AL78" s="441"/>
      <c r="AM78" s="441"/>
      <c r="AN78" s="441"/>
      <c r="AO78" s="441"/>
      <c r="AP78" s="441"/>
      <c r="AQ78" s="441"/>
      <c r="AR78" s="89"/>
      <c r="AS78" s="441"/>
      <c r="AT78" s="441"/>
      <c r="AU78" s="441"/>
      <c r="AV78" s="89"/>
      <c r="AW78" s="441"/>
      <c r="AX78" s="441"/>
      <c r="AY78" s="441"/>
      <c r="AZ78" s="442"/>
    </row>
    <row r="79" spans="2:52" ht="14.25" hidden="1" outlineLevel="1">
      <c r="B79" s="437">
        <f t="shared" si="1"/>
        <v>72</v>
      </c>
      <c r="C79" s="255"/>
      <c r="D79" s="438"/>
      <c r="E79" s="438"/>
      <c r="F79" s="438"/>
      <c r="G79" s="89"/>
      <c r="H79" s="89"/>
      <c r="I79" s="89"/>
      <c r="J79" s="441"/>
      <c r="K79" s="441"/>
      <c r="L79" s="441"/>
      <c r="M79" s="89"/>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c r="AR79" s="89"/>
      <c r="AS79" s="441"/>
      <c r="AT79" s="441"/>
      <c r="AU79" s="441"/>
      <c r="AV79" s="89"/>
      <c r="AW79" s="441"/>
      <c r="AX79" s="441"/>
      <c r="AY79" s="441"/>
      <c r="AZ79" s="442"/>
    </row>
    <row r="80" spans="2:52" ht="14.25" hidden="1" outlineLevel="1">
      <c r="B80" s="437">
        <f t="shared" si="1"/>
        <v>73</v>
      </c>
      <c r="C80" s="255"/>
      <c r="D80" s="438"/>
      <c r="E80" s="438"/>
      <c r="F80" s="438"/>
      <c r="G80" s="89"/>
      <c r="H80" s="89"/>
      <c r="I80" s="89"/>
      <c r="J80" s="441"/>
      <c r="K80" s="441"/>
      <c r="L80" s="441"/>
      <c r="M80" s="89"/>
      <c r="N80" s="441"/>
      <c r="O80" s="441"/>
      <c r="P80" s="441"/>
      <c r="Q80" s="441"/>
      <c r="R80" s="441"/>
      <c r="S80" s="441"/>
      <c r="T80" s="441"/>
      <c r="U80" s="441"/>
      <c r="V80" s="441"/>
      <c r="W80" s="441"/>
      <c r="X80" s="441"/>
      <c r="Y80" s="441"/>
      <c r="Z80" s="441"/>
      <c r="AA80" s="441"/>
      <c r="AB80" s="441"/>
      <c r="AC80" s="441"/>
      <c r="AD80" s="441"/>
      <c r="AE80" s="441"/>
      <c r="AF80" s="441"/>
      <c r="AG80" s="441"/>
      <c r="AH80" s="441"/>
      <c r="AI80" s="441"/>
      <c r="AJ80" s="441"/>
      <c r="AK80" s="441"/>
      <c r="AL80" s="441"/>
      <c r="AM80" s="441"/>
      <c r="AN80" s="441"/>
      <c r="AO80" s="441"/>
      <c r="AP80" s="441"/>
      <c r="AQ80" s="441"/>
      <c r="AR80" s="89"/>
      <c r="AS80" s="441"/>
      <c r="AT80" s="441"/>
      <c r="AU80" s="441"/>
      <c r="AV80" s="89"/>
      <c r="AW80" s="441"/>
      <c r="AX80" s="441"/>
      <c r="AY80" s="441"/>
      <c r="AZ80" s="442"/>
    </row>
    <row r="81" spans="2:75" ht="14.25" hidden="1" outlineLevel="1">
      <c r="B81" s="437">
        <f t="shared" si="1"/>
        <v>74</v>
      </c>
      <c r="C81" s="255"/>
      <c r="D81" s="438"/>
      <c r="E81" s="438"/>
      <c r="F81" s="438"/>
      <c r="G81" s="89"/>
      <c r="H81" s="89"/>
      <c r="I81" s="89"/>
      <c r="J81" s="441"/>
      <c r="K81" s="441"/>
      <c r="L81" s="441"/>
      <c r="M81" s="89"/>
      <c r="N81" s="441"/>
      <c r="O81" s="441"/>
      <c r="P81" s="441"/>
      <c r="Q81" s="441"/>
      <c r="R81" s="441"/>
      <c r="S81" s="441"/>
      <c r="T81" s="441"/>
      <c r="U81" s="441"/>
      <c r="V81" s="441"/>
      <c r="W81" s="441"/>
      <c r="X81" s="441"/>
      <c r="Y81" s="441"/>
      <c r="Z81" s="441"/>
      <c r="AA81" s="441"/>
      <c r="AB81" s="441"/>
      <c r="AC81" s="441"/>
      <c r="AD81" s="441"/>
      <c r="AE81" s="441"/>
      <c r="AF81" s="441"/>
      <c r="AG81" s="441"/>
      <c r="AH81" s="441"/>
      <c r="AI81" s="441"/>
      <c r="AJ81" s="441"/>
      <c r="AK81" s="441"/>
      <c r="AL81" s="441"/>
      <c r="AM81" s="441"/>
      <c r="AN81" s="441"/>
      <c r="AO81" s="441"/>
      <c r="AP81" s="441"/>
      <c r="AQ81" s="441"/>
      <c r="AR81" s="89"/>
      <c r="AS81" s="441"/>
      <c r="AT81" s="441"/>
      <c r="AU81" s="441"/>
      <c r="AV81" s="89"/>
      <c r="AW81" s="441"/>
      <c r="AX81" s="441"/>
      <c r="AY81" s="441"/>
      <c r="AZ81" s="442"/>
    </row>
    <row r="82" spans="2:75" ht="14.25" hidden="1" outlineLevel="1">
      <c r="B82" s="437">
        <f t="shared" si="1"/>
        <v>75</v>
      </c>
      <c r="C82" s="255"/>
      <c r="D82" s="438"/>
      <c r="E82" s="438"/>
      <c r="F82" s="438"/>
      <c r="G82" s="89"/>
      <c r="H82" s="89"/>
      <c r="I82" s="89"/>
      <c r="J82" s="441"/>
      <c r="K82" s="441"/>
      <c r="L82" s="441"/>
      <c r="M82" s="89"/>
      <c r="N82" s="441"/>
      <c r="O82" s="441"/>
      <c r="P82" s="441"/>
      <c r="Q82" s="441"/>
      <c r="R82" s="441"/>
      <c r="S82" s="441"/>
      <c r="T82" s="441"/>
      <c r="U82" s="441"/>
      <c r="V82" s="441"/>
      <c r="W82" s="441"/>
      <c r="X82" s="441"/>
      <c r="Y82" s="441"/>
      <c r="Z82" s="441"/>
      <c r="AA82" s="441"/>
      <c r="AB82" s="441"/>
      <c r="AC82" s="441"/>
      <c r="AD82" s="441"/>
      <c r="AE82" s="441"/>
      <c r="AF82" s="441"/>
      <c r="AG82" s="441"/>
      <c r="AH82" s="441"/>
      <c r="AI82" s="441"/>
      <c r="AJ82" s="441"/>
      <c r="AK82" s="441"/>
      <c r="AL82" s="441"/>
      <c r="AM82" s="441"/>
      <c r="AN82" s="441"/>
      <c r="AO82" s="441"/>
      <c r="AP82" s="441"/>
      <c r="AQ82" s="441"/>
      <c r="AR82" s="89"/>
      <c r="AS82" s="441"/>
      <c r="AT82" s="441"/>
      <c r="AU82" s="441"/>
      <c r="AV82" s="89"/>
      <c r="AW82" s="441"/>
      <c r="AX82" s="441"/>
      <c r="AY82" s="441"/>
      <c r="AZ82" s="442"/>
    </row>
    <row r="83" spans="2:75" ht="14.25" hidden="1" outlineLevel="1">
      <c r="B83" s="437">
        <f t="shared" si="1"/>
        <v>76</v>
      </c>
      <c r="C83" s="255"/>
      <c r="D83" s="438"/>
      <c r="E83" s="438"/>
      <c r="F83" s="438"/>
      <c r="G83" s="89"/>
      <c r="H83" s="89"/>
      <c r="I83" s="89"/>
      <c r="J83" s="441"/>
      <c r="K83" s="441"/>
      <c r="L83" s="441"/>
      <c r="M83" s="89"/>
      <c r="N83" s="441"/>
      <c r="O83" s="441"/>
      <c r="P83" s="441"/>
      <c r="Q83" s="441"/>
      <c r="R83" s="441"/>
      <c r="S83" s="441"/>
      <c r="T83" s="441"/>
      <c r="U83" s="441"/>
      <c r="V83" s="441"/>
      <c r="W83" s="441"/>
      <c r="X83" s="441"/>
      <c r="Y83" s="441"/>
      <c r="Z83" s="441"/>
      <c r="AA83" s="441"/>
      <c r="AB83" s="441"/>
      <c r="AC83" s="441"/>
      <c r="AD83" s="441"/>
      <c r="AE83" s="441"/>
      <c r="AF83" s="441"/>
      <c r="AG83" s="441"/>
      <c r="AH83" s="441"/>
      <c r="AI83" s="441"/>
      <c r="AJ83" s="441"/>
      <c r="AK83" s="441"/>
      <c r="AL83" s="441"/>
      <c r="AM83" s="441"/>
      <c r="AN83" s="441"/>
      <c r="AO83" s="441"/>
      <c r="AP83" s="441"/>
      <c r="AQ83" s="441"/>
      <c r="AR83" s="89"/>
      <c r="AS83" s="441"/>
      <c r="AT83" s="441"/>
      <c r="AU83" s="441"/>
      <c r="AV83" s="89"/>
      <c r="AW83" s="441"/>
      <c r="AX83" s="441"/>
      <c r="AY83" s="441"/>
      <c r="AZ83" s="442"/>
    </row>
    <row r="84" spans="2:75" ht="14.25" hidden="1" outlineLevel="1">
      <c r="B84" s="437">
        <f t="shared" si="1"/>
        <v>77</v>
      </c>
      <c r="C84" s="255"/>
      <c r="D84" s="438"/>
      <c r="E84" s="438"/>
      <c r="F84" s="438"/>
      <c r="G84" s="89"/>
      <c r="H84" s="89"/>
      <c r="I84" s="89"/>
      <c r="J84" s="441"/>
      <c r="K84" s="441"/>
      <c r="L84" s="441"/>
      <c r="M84" s="89"/>
      <c r="N84" s="441"/>
      <c r="O84" s="441"/>
      <c r="P84" s="441"/>
      <c r="Q84" s="441"/>
      <c r="R84" s="441"/>
      <c r="S84" s="441"/>
      <c r="T84" s="441"/>
      <c r="U84" s="441"/>
      <c r="V84" s="441"/>
      <c r="W84" s="441"/>
      <c r="X84" s="441"/>
      <c r="Y84" s="441"/>
      <c r="Z84" s="441"/>
      <c r="AA84" s="441"/>
      <c r="AB84" s="441"/>
      <c r="AC84" s="441"/>
      <c r="AD84" s="441"/>
      <c r="AE84" s="441"/>
      <c r="AF84" s="441"/>
      <c r="AG84" s="441"/>
      <c r="AH84" s="441"/>
      <c r="AI84" s="441"/>
      <c r="AJ84" s="441"/>
      <c r="AK84" s="441"/>
      <c r="AL84" s="441"/>
      <c r="AM84" s="441"/>
      <c r="AN84" s="441"/>
      <c r="AO84" s="441"/>
      <c r="AP84" s="441"/>
      <c r="AQ84" s="441"/>
      <c r="AR84" s="89"/>
      <c r="AS84" s="441"/>
      <c r="AT84" s="441"/>
      <c r="AU84" s="441"/>
      <c r="AV84" s="89"/>
      <c r="AW84" s="441"/>
      <c r="AX84" s="441"/>
      <c r="AY84" s="441"/>
      <c r="AZ84" s="442"/>
    </row>
    <row r="85" spans="2:75" ht="14.25" hidden="1" outlineLevel="1">
      <c r="B85" s="437">
        <f t="shared" si="1"/>
        <v>78</v>
      </c>
      <c r="C85" s="255"/>
      <c r="D85" s="438"/>
      <c r="E85" s="438"/>
      <c r="F85" s="438"/>
      <c r="G85" s="89"/>
      <c r="H85" s="89"/>
      <c r="I85" s="89"/>
      <c r="J85" s="441"/>
      <c r="K85" s="441"/>
      <c r="L85" s="441"/>
      <c r="M85" s="89"/>
      <c r="N85" s="441"/>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1"/>
      <c r="AO85" s="441"/>
      <c r="AP85" s="441"/>
      <c r="AQ85" s="441"/>
      <c r="AR85" s="89"/>
      <c r="AS85" s="441"/>
      <c r="AT85" s="441"/>
      <c r="AU85" s="441"/>
      <c r="AV85" s="89"/>
      <c r="AW85" s="441"/>
      <c r="AX85" s="441"/>
      <c r="AY85" s="441"/>
      <c r="AZ85" s="442"/>
    </row>
    <row r="86" spans="2:75" ht="14.25" hidden="1" outlineLevel="1">
      <c r="B86" s="437">
        <f t="shared" si="1"/>
        <v>79</v>
      </c>
      <c r="C86" s="255"/>
      <c r="D86" s="438"/>
      <c r="E86" s="438"/>
      <c r="F86" s="438"/>
      <c r="G86" s="89"/>
      <c r="H86" s="89"/>
      <c r="I86" s="89"/>
      <c r="J86" s="441"/>
      <c r="K86" s="441"/>
      <c r="L86" s="441"/>
      <c r="M86" s="89"/>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41"/>
      <c r="AK86" s="441"/>
      <c r="AL86" s="441"/>
      <c r="AM86" s="441"/>
      <c r="AN86" s="441"/>
      <c r="AO86" s="441"/>
      <c r="AP86" s="441"/>
      <c r="AQ86" s="441"/>
      <c r="AR86" s="89"/>
      <c r="AS86" s="441"/>
      <c r="AT86" s="441"/>
      <c r="AU86" s="441"/>
      <c r="AV86" s="89"/>
      <c r="AW86" s="441"/>
      <c r="AX86" s="441"/>
      <c r="AY86" s="441"/>
      <c r="AZ86" s="442"/>
    </row>
    <row r="87" spans="2:75" ht="14.25" collapsed="1">
      <c r="B87" s="437">
        <f t="shared" si="1"/>
        <v>80</v>
      </c>
      <c r="C87" s="255"/>
      <c r="D87" s="438"/>
      <c r="E87" s="438"/>
      <c r="F87" s="438"/>
      <c r="G87" s="89"/>
      <c r="H87" s="89"/>
      <c r="I87" s="89"/>
      <c r="J87" s="441"/>
      <c r="K87" s="441"/>
      <c r="L87" s="441"/>
      <c r="M87" s="89"/>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c r="AO87" s="441"/>
      <c r="AP87" s="441"/>
      <c r="AQ87" s="441"/>
      <c r="AR87" s="89"/>
      <c r="AS87" s="441"/>
      <c r="AT87" s="441"/>
      <c r="AU87" s="441"/>
      <c r="AV87" s="89"/>
      <c r="AW87" s="441"/>
      <c r="AX87" s="441"/>
      <c r="AY87" s="441"/>
      <c r="AZ87" s="442"/>
    </row>
    <row r="88" spans="2:75" ht="12">
      <c r="C88" s="125" t="s">
        <v>804</v>
      </c>
      <c r="D88" s="98"/>
      <c r="E88" s="98"/>
      <c r="F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row>
    <row r="89" spans="2:75" ht="12">
      <c r="C89" t="s">
        <v>805</v>
      </c>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row>
    <row r="90" spans="2:75" ht="12">
      <c r="C90" s="251" t="s">
        <v>806</v>
      </c>
    </row>
    <row r="91" spans="2:75" ht="12">
      <c r="C91" s="251"/>
    </row>
    <row r="92" spans="2:75" ht="12">
      <c r="C92" s="251"/>
    </row>
    <row r="93" spans="2:75" ht="15.75">
      <c r="C93" s="9" t="s">
        <v>807</v>
      </c>
      <c r="D93" s="251"/>
      <c r="E93" s="427">
        <v>2024</v>
      </c>
    </row>
    <row r="94" spans="2:75" ht="12">
      <c r="C94" s="266" t="s">
        <v>759</v>
      </c>
    </row>
    <row r="95" spans="2:75" ht="52.15" customHeight="1">
      <c r="C95" s="526" t="s">
        <v>760</v>
      </c>
      <c r="D95" s="526"/>
      <c r="E95" s="526"/>
      <c r="F95" s="527"/>
      <c r="G95" s="428">
        <v>2024</v>
      </c>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29"/>
      <c r="AZ95" s="429"/>
    </row>
    <row r="96" spans="2:75" ht="72">
      <c r="C96" s="430" t="s">
        <v>461</v>
      </c>
      <c r="D96" s="430" t="s">
        <v>462</v>
      </c>
      <c r="E96" s="431" t="s">
        <v>463</v>
      </c>
      <c r="F96" s="444" t="s">
        <v>761</v>
      </c>
      <c r="G96" s="445" t="s">
        <v>762</v>
      </c>
      <c r="H96" s="446" t="s">
        <v>763</v>
      </c>
      <c r="I96" s="433" t="s">
        <v>764</v>
      </c>
      <c r="J96" s="434" t="s">
        <v>769</v>
      </c>
      <c r="K96" s="435" t="s">
        <v>770</v>
      </c>
      <c r="L96" s="436" t="s">
        <v>767</v>
      </c>
      <c r="M96" s="433" t="s">
        <v>768</v>
      </c>
      <c r="N96" s="434" t="s">
        <v>769</v>
      </c>
      <c r="O96" s="435" t="s">
        <v>770</v>
      </c>
      <c r="P96" s="436" t="s">
        <v>767</v>
      </c>
      <c r="Q96" s="434" t="s">
        <v>771</v>
      </c>
      <c r="R96" s="435" t="s">
        <v>772</v>
      </c>
      <c r="S96" s="436" t="s">
        <v>767</v>
      </c>
      <c r="T96" s="434" t="s">
        <v>773</v>
      </c>
      <c r="U96" s="435" t="s">
        <v>774</v>
      </c>
      <c r="V96" s="436" t="s">
        <v>767</v>
      </c>
      <c r="W96" s="434" t="s">
        <v>775</v>
      </c>
      <c r="X96" s="435" t="s">
        <v>776</v>
      </c>
      <c r="Y96" s="436" t="s">
        <v>767</v>
      </c>
      <c r="Z96" s="434" t="s">
        <v>777</v>
      </c>
      <c r="AA96" s="435" t="s">
        <v>778</v>
      </c>
      <c r="AB96" s="436" t="s">
        <v>767</v>
      </c>
      <c r="AC96" s="434" t="s">
        <v>779</v>
      </c>
      <c r="AD96" s="435" t="s">
        <v>780</v>
      </c>
      <c r="AE96" s="436" t="s">
        <v>767</v>
      </c>
      <c r="AF96" s="434" t="s">
        <v>781</v>
      </c>
      <c r="AG96" s="435" t="s">
        <v>782</v>
      </c>
      <c r="AH96" s="436" t="s">
        <v>767</v>
      </c>
      <c r="AI96" s="434" t="s">
        <v>783</v>
      </c>
      <c r="AJ96" s="435" t="s">
        <v>784</v>
      </c>
      <c r="AK96" s="436" t="s">
        <v>767</v>
      </c>
      <c r="AL96" s="434" t="s">
        <v>785</v>
      </c>
      <c r="AM96" s="435" t="s">
        <v>786</v>
      </c>
      <c r="AN96" s="436" t="s">
        <v>767</v>
      </c>
      <c r="AO96" s="434" t="s">
        <v>787</v>
      </c>
      <c r="AP96" s="435" t="s">
        <v>788</v>
      </c>
      <c r="AQ96" s="436" t="s">
        <v>767</v>
      </c>
      <c r="AR96" s="434" t="s">
        <v>789</v>
      </c>
      <c r="AS96" s="435" t="s">
        <v>790</v>
      </c>
      <c r="AT96" s="435" t="s">
        <v>791</v>
      </c>
      <c r="AU96" s="436" t="s">
        <v>767</v>
      </c>
      <c r="AV96" s="434" t="s">
        <v>792</v>
      </c>
      <c r="AW96" s="435" t="s">
        <v>793</v>
      </c>
      <c r="AX96" s="435" t="s">
        <v>794</v>
      </c>
      <c r="AY96" s="435" t="s">
        <v>795</v>
      </c>
      <c r="AZ96" s="436" t="s">
        <v>767</v>
      </c>
    </row>
    <row r="97" spans="1:52" ht="14.25">
      <c r="A97" s="572" t="str">
        <f>C97&amp;D97</f>
        <v>Paquete 249Residencial</v>
      </c>
      <c r="B97" s="437">
        <v>1</v>
      </c>
      <c r="C97" s="255" t="s">
        <v>166</v>
      </c>
      <c r="D97" s="438" t="s">
        <v>358</v>
      </c>
      <c r="E97" s="438" t="s">
        <v>796</v>
      </c>
      <c r="F97" s="438" t="s">
        <v>683</v>
      </c>
      <c r="G97" s="447">
        <v>210.24</v>
      </c>
      <c r="H97" s="447">
        <v>249</v>
      </c>
      <c r="I97" s="440" t="s">
        <v>797</v>
      </c>
      <c r="J97" s="441"/>
      <c r="K97" s="441"/>
      <c r="L97" s="441"/>
      <c r="M97" s="440" t="s">
        <v>797</v>
      </c>
      <c r="N97" s="441"/>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c r="AP97" s="441"/>
      <c r="AQ97" s="441"/>
      <c r="AR97" s="510" t="s">
        <v>797</v>
      </c>
      <c r="AS97" s="441"/>
      <c r="AT97" s="441"/>
      <c r="AU97" s="441"/>
      <c r="AV97" s="510" t="s">
        <v>797</v>
      </c>
      <c r="AW97" s="441"/>
      <c r="AX97" s="441"/>
      <c r="AY97" s="441"/>
      <c r="AZ97" s="442"/>
    </row>
    <row r="98" spans="1:52" ht="14.25">
      <c r="A98" s="572" t="str">
        <f t="shared" ref="A98:A130" si="2">C98&amp;D98</f>
        <v>Paquete 289Residencial</v>
      </c>
      <c r="B98" s="437">
        <f>1+B97</f>
        <v>2</v>
      </c>
      <c r="C98" s="255" t="s">
        <v>169</v>
      </c>
      <c r="D98" s="438" t="s">
        <v>358</v>
      </c>
      <c r="E98" s="438" t="s">
        <v>796</v>
      </c>
      <c r="F98" s="438" t="s">
        <v>683</v>
      </c>
      <c r="G98" s="89">
        <v>244.01</v>
      </c>
      <c r="H98" s="89">
        <v>289</v>
      </c>
      <c r="I98" s="440" t="s">
        <v>797</v>
      </c>
      <c r="J98" s="441"/>
      <c r="K98" s="441"/>
      <c r="L98" s="441"/>
      <c r="M98" s="440" t="s">
        <v>797</v>
      </c>
      <c r="N98" s="441"/>
      <c r="O98" s="441"/>
      <c r="P98" s="441"/>
      <c r="Q98" s="441"/>
      <c r="R98" s="441"/>
      <c r="S98" s="441"/>
      <c r="T98" s="441"/>
      <c r="U98" s="441"/>
      <c r="V98" s="441"/>
      <c r="W98" s="441"/>
      <c r="X98" s="441"/>
      <c r="Y98" s="441"/>
      <c r="Z98" s="441"/>
      <c r="AA98" s="441"/>
      <c r="AB98" s="441"/>
      <c r="AC98" s="441"/>
      <c r="AD98" s="441"/>
      <c r="AE98" s="441"/>
      <c r="AF98" s="441"/>
      <c r="AG98" s="441"/>
      <c r="AH98" s="441"/>
      <c r="AI98" s="441"/>
      <c r="AJ98" s="441"/>
      <c r="AK98" s="441"/>
      <c r="AL98" s="441"/>
      <c r="AM98" s="441"/>
      <c r="AN98" s="441"/>
      <c r="AO98" s="441"/>
      <c r="AP98" s="441"/>
      <c r="AQ98" s="441"/>
      <c r="AR98" s="511" t="s">
        <v>797</v>
      </c>
      <c r="AS98" s="441"/>
      <c r="AT98" s="441"/>
      <c r="AU98" s="441"/>
      <c r="AV98" s="511" t="s">
        <v>797</v>
      </c>
      <c r="AW98" s="441"/>
      <c r="AX98" s="441"/>
      <c r="AY98" s="441"/>
      <c r="AZ98" s="442"/>
    </row>
    <row r="99" spans="1:52" ht="14.25">
      <c r="A99" s="572" t="str">
        <f t="shared" si="2"/>
        <v>Paquete 333Residencial</v>
      </c>
      <c r="B99" s="437">
        <f t="shared" ref="B99:B162" si="3">1+B98</f>
        <v>3</v>
      </c>
      <c r="C99" s="255" t="s">
        <v>173</v>
      </c>
      <c r="D99" s="438" t="s">
        <v>358</v>
      </c>
      <c r="E99" s="438" t="s">
        <v>796</v>
      </c>
      <c r="F99" s="438" t="s">
        <v>683</v>
      </c>
      <c r="G99" s="89">
        <v>281.16000000000003</v>
      </c>
      <c r="H99" s="89">
        <v>333</v>
      </c>
      <c r="I99" s="440" t="s">
        <v>797</v>
      </c>
      <c r="J99" s="441"/>
      <c r="K99" s="441"/>
      <c r="L99" s="441"/>
      <c r="M99" s="440" t="s">
        <v>797</v>
      </c>
      <c r="N99" s="441"/>
      <c r="O99" s="441"/>
      <c r="P99" s="441"/>
      <c r="Q99" s="441"/>
      <c r="R99" s="441"/>
      <c r="S99" s="441"/>
      <c r="T99" s="441"/>
      <c r="U99" s="441"/>
      <c r="V99" s="441"/>
      <c r="W99" s="441"/>
      <c r="X99" s="441"/>
      <c r="Y99" s="441"/>
      <c r="Z99" s="441"/>
      <c r="AA99" s="441"/>
      <c r="AB99" s="441"/>
      <c r="AC99" s="441"/>
      <c r="AD99" s="441"/>
      <c r="AE99" s="441"/>
      <c r="AF99" s="441"/>
      <c r="AG99" s="441"/>
      <c r="AH99" s="441"/>
      <c r="AI99" s="441"/>
      <c r="AJ99" s="441"/>
      <c r="AK99" s="441"/>
      <c r="AL99" s="441"/>
      <c r="AM99" s="441"/>
      <c r="AN99" s="441"/>
      <c r="AO99" s="441"/>
      <c r="AP99" s="441"/>
      <c r="AQ99" s="441"/>
      <c r="AR99" s="511" t="s">
        <v>797</v>
      </c>
      <c r="AS99" s="441"/>
      <c r="AT99" s="441"/>
      <c r="AU99" s="441"/>
      <c r="AV99" s="511" t="s">
        <v>797</v>
      </c>
      <c r="AW99" s="441"/>
      <c r="AX99" s="441"/>
      <c r="AY99" s="441"/>
      <c r="AZ99" s="442"/>
    </row>
    <row r="100" spans="1:52" ht="14.25">
      <c r="A100" s="572" t="str">
        <f t="shared" si="2"/>
        <v>Paquete 389Residencial</v>
      </c>
      <c r="B100" s="437">
        <f t="shared" si="3"/>
        <v>4</v>
      </c>
      <c r="C100" s="255" t="s">
        <v>177</v>
      </c>
      <c r="D100" s="438" t="s">
        <v>358</v>
      </c>
      <c r="E100" s="438" t="s">
        <v>796</v>
      </c>
      <c r="F100" s="438" t="s">
        <v>683</v>
      </c>
      <c r="G100" s="89">
        <v>328.44</v>
      </c>
      <c r="H100" s="89">
        <v>389</v>
      </c>
      <c r="I100" s="440" t="s">
        <v>797</v>
      </c>
      <c r="J100" s="441"/>
      <c r="K100" s="441"/>
      <c r="L100" s="441"/>
      <c r="M100" s="440" t="s">
        <v>797</v>
      </c>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511" t="s">
        <v>797</v>
      </c>
      <c r="AS100" s="441"/>
      <c r="AT100" s="441"/>
      <c r="AU100" s="441"/>
      <c r="AV100" s="511" t="s">
        <v>797</v>
      </c>
      <c r="AW100" s="441"/>
      <c r="AX100" s="441"/>
      <c r="AY100" s="441"/>
      <c r="AZ100" s="442"/>
    </row>
    <row r="101" spans="1:52" ht="14.25">
      <c r="A101" s="572" t="str">
        <f t="shared" si="2"/>
        <v>Paquete 435Residencial</v>
      </c>
      <c r="B101" s="437">
        <f t="shared" si="3"/>
        <v>5</v>
      </c>
      <c r="C101" s="255" t="s">
        <v>180</v>
      </c>
      <c r="D101" s="438" t="s">
        <v>358</v>
      </c>
      <c r="E101" s="438" t="s">
        <v>796</v>
      </c>
      <c r="F101" s="438" t="s">
        <v>683</v>
      </c>
      <c r="G101" s="89">
        <v>367.29</v>
      </c>
      <c r="H101" s="89">
        <v>435</v>
      </c>
      <c r="I101" s="440" t="s">
        <v>797</v>
      </c>
      <c r="J101" s="441"/>
      <c r="K101" s="441"/>
      <c r="L101" s="441"/>
      <c r="M101" s="440" t="s">
        <v>797</v>
      </c>
      <c r="N101" s="441"/>
      <c r="O101" s="441"/>
      <c r="P101" s="441"/>
      <c r="Q101" s="441"/>
      <c r="R101" s="441"/>
      <c r="S101" s="441"/>
      <c r="T101" s="441"/>
      <c r="U101" s="441"/>
      <c r="V101" s="441"/>
      <c r="W101" s="441"/>
      <c r="X101" s="441"/>
      <c r="Y101" s="441"/>
      <c r="Z101" s="441"/>
      <c r="AA101" s="441"/>
      <c r="AB101" s="441"/>
      <c r="AC101" s="441"/>
      <c r="AD101" s="441"/>
      <c r="AE101" s="441"/>
      <c r="AF101" s="441"/>
      <c r="AG101" s="441"/>
      <c r="AH101" s="441"/>
      <c r="AI101" s="441"/>
      <c r="AJ101" s="441"/>
      <c r="AK101" s="441"/>
      <c r="AL101" s="441"/>
      <c r="AM101" s="441"/>
      <c r="AN101" s="441"/>
      <c r="AO101" s="441"/>
      <c r="AP101" s="441"/>
      <c r="AQ101" s="441"/>
      <c r="AR101" s="511" t="s">
        <v>797</v>
      </c>
      <c r="AS101" s="441"/>
      <c r="AT101" s="441"/>
      <c r="AU101" s="441"/>
      <c r="AV101" s="511" t="s">
        <v>797</v>
      </c>
      <c r="AW101" s="441"/>
      <c r="AX101" s="441"/>
      <c r="AY101" s="441"/>
      <c r="AZ101" s="442"/>
    </row>
    <row r="102" spans="1:52" ht="14.25">
      <c r="A102" s="572" t="str">
        <f t="shared" si="2"/>
        <v>Paquete 499Residencial</v>
      </c>
      <c r="B102" s="437">
        <f t="shared" si="3"/>
        <v>6</v>
      </c>
      <c r="C102" s="255" t="s">
        <v>182</v>
      </c>
      <c r="D102" s="438" t="s">
        <v>358</v>
      </c>
      <c r="E102" s="438" t="s">
        <v>796</v>
      </c>
      <c r="F102" s="438" t="s">
        <v>683</v>
      </c>
      <c r="G102" s="89">
        <v>421.32</v>
      </c>
      <c r="H102" s="89">
        <v>499</v>
      </c>
      <c r="I102" s="440" t="s">
        <v>797</v>
      </c>
      <c r="J102" s="441"/>
      <c r="K102" s="441"/>
      <c r="L102" s="441"/>
      <c r="M102" s="440" t="s">
        <v>797</v>
      </c>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511" t="s">
        <v>797</v>
      </c>
      <c r="AS102" s="441"/>
      <c r="AT102" s="441"/>
      <c r="AU102" s="441"/>
      <c r="AV102" s="511" t="s">
        <v>797</v>
      </c>
      <c r="AW102" s="441"/>
      <c r="AX102" s="441"/>
      <c r="AY102" s="441"/>
      <c r="AZ102" s="442"/>
    </row>
    <row r="103" spans="1:52" ht="14.25">
      <c r="A103" s="572" t="str">
        <f t="shared" si="2"/>
        <v>Paquete 599Residencial</v>
      </c>
      <c r="B103" s="437">
        <f t="shared" si="3"/>
        <v>7</v>
      </c>
      <c r="C103" s="255" t="s">
        <v>184</v>
      </c>
      <c r="D103" s="438" t="s">
        <v>358</v>
      </c>
      <c r="E103" s="438" t="s">
        <v>796</v>
      </c>
      <c r="F103" s="438" t="s">
        <v>683</v>
      </c>
      <c r="G103" s="89">
        <v>505.76</v>
      </c>
      <c r="H103" s="443">
        <v>599.00191359999997</v>
      </c>
      <c r="I103" s="440" t="s">
        <v>797</v>
      </c>
      <c r="J103" s="441"/>
      <c r="K103" s="441"/>
      <c r="L103" s="441"/>
      <c r="M103" s="440" t="s">
        <v>797</v>
      </c>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511" t="s">
        <v>797</v>
      </c>
      <c r="AS103" s="441"/>
      <c r="AT103" s="441"/>
      <c r="AU103" s="441"/>
      <c r="AV103" s="511" t="s">
        <v>797</v>
      </c>
      <c r="AW103" s="441"/>
      <c r="AX103" s="441"/>
      <c r="AY103" s="441"/>
      <c r="AZ103" s="442"/>
    </row>
    <row r="104" spans="1:52" ht="14.25">
      <c r="A104" s="572" t="str">
        <f t="shared" si="2"/>
        <v>Paquete 649Residencial</v>
      </c>
      <c r="B104" s="437">
        <f t="shared" si="3"/>
        <v>8</v>
      </c>
      <c r="C104" s="255" t="s">
        <v>187</v>
      </c>
      <c r="D104" s="438" t="s">
        <v>358</v>
      </c>
      <c r="E104" s="438" t="s">
        <v>796</v>
      </c>
      <c r="F104" s="438" t="s">
        <v>683</v>
      </c>
      <c r="G104" s="89">
        <v>547.98</v>
      </c>
      <c r="H104" s="89">
        <v>649</v>
      </c>
      <c r="I104" s="440" t="s">
        <v>797</v>
      </c>
      <c r="J104" s="441"/>
      <c r="K104" s="441"/>
      <c r="L104" s="441"/>
      <c r="M104" s="440" t="s">
        <v>797</v>
      </c>
      <c r="N104" s="441"/>
      <c r="O104" s="441"/>
      <c r="P104" s="441"/>
      <c r="Q104" s="441"/>
      <c r="R104" s="441"/>
      <c r="S104" s="441"/>
      <c r="T104" s="441"/>
      <c r="U104" s="441"/>
      <c r="V104" s="441"/>
      <c r="W104" s="441"/>
      <c r="X104" s="441"/>
      <c r="Y104" s="441"/>
      <c r="Z104" s="441"/>
      <c r="AA104" s="441"/>
      <c r="AB104" s="441"/>
      <c r="AC104" s="441"/>
      <c r="AD104" s="441"/>
      <c r="AE104" s="441"/>
      <c r="AF104" s="441"/>
      <c r="AG104" s="441"/>
      <c r="AH104" s="441"/>
      <c r="AI104" s="441"/>
      <c r="AJ104" s="441"/>
      <c r="AK104" s="441"/>
      <c r="AL104" s="441"/>
      <c r="AM104" s="441"/>
      <c r="AN104" s="441"/>
      <c r="AO104" s="441"/>
      <c r="AP104" s="441"/>
      <c r="AQ104" s="441"/>
      <c r="AR104" s="511" t="s">
        <v>797</v>
      </c>
      <c r="AS104" s="441"/>
      <c r="AT104" s="441"/>
      <c r="AU104" s="441"/>
      <c r="AV104" s="511" t="s">
        <v>797</v>
      </c>
      <c r="AW104" s="441"/>
      <c r="AX104" s="441"/>
      <c r="AY104" s="441"/>
      <c r="AZ104" s="442"/>
    </row>
    <row r="105" spans="1:52" ht="14.25">
      <c r="A105" s="572" t="str">
        <f t="shared" si="2"/>
        <v>Paquete Infinitum 999Residencial</v>
      </c>
      <c r="B105" s="437">
        <f t="shared" si="3"/>
        <v>9</v>
      </c>
      <c r="C105" s="255" t="s">
        <v>189</v>
      </c>
      <c r="D105" s="438" t="s">
        <v>358</v>
      </c>
      <c r="E105" s="438" t="s">
        <v>796</v>
      </c>
      <c r="F105" s="438" t="s">
        <v>683</v>
      </c>
      <c r="G105" s="89">
        <v>843.5</v>
      </c>
      <c r="H105" s="89">
        <v>999</v>
      </c>
      <c r="I105" s="440" t="s">
        <v>797</v>
      </c>
      <c r="J105" s="441"/>
      <c r="K105" s="441"/>
      <c r="L105" s="441"/>
      <c r="M105" s="440" t="s">
        <v>797</v>
      </c>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511" t="s">
        <v>797</v>
      </c>
      <c r="AS105" s="441"/>
      <c r="AT105" s="441"/>
      <c r="AU105" s="441"/>
      <c r="AV105" s="511" t="s">
        <v>797</v>
      </c>
      <c r="AW105" s="441"/>
      <c r="AX105" s="441"/>
      <c r="AY105" s="441"/>
      <c r="AZ105" s="442"/>
    </row>
    <row r="106" spans="1:52" ht="14.25">
      <c r="A106" s="572" t="str">
        <f t="shared" si="2"/>
        <v>Paquete 1399Residencial</v>
      </c>
      <c r="B106" s="437">
        <f t="shared" si="3"/>
        <v>10</v>
      </c>
      <c r="C106" s="255" t="s">
        <v>191</v>
      </c>
      <c r="D106" s="438" t="s">
        <v>358</v>
      </c>
      <c r="E106" s="438" t="s">
        <v>796</v>
      </c>
      <c r="F106" s="438" t="s">
        <v>683</v>
      </c>
      <c r="G106" s="89">
        <v>1181.23</v>
      </c>
      <c r="H106" s="89">
        <v>1399</v>
      </c>
      <c r="I106" s="440" t="s">
        <v>797</v>
      </c>
      <c r="J106" s="441"/>
      <c r="K106" s="441"/>
      <c r="L106" s="441"/>
      <c r="M106" s="440" t="s">
        <v>797</v>
      </c>
      <c r="N106" s="441"/>
      <c r="O106" s="441"/>
      <c r="P106" s="441"/>
      <c r="Q106" s="441"/>
      <c r="R106" s="441"/>
      <c r="S106" s="441"/>
      <c r="T106" s="441"/>
      <c r="U106" s="441"/>
      <c r="V106" s="441"/>
      <c r="W106" s="441"/>
      <c r="X106" s="441"/>
      <c r="Y106" s="441"/>
      <c r="Z106" s="441"/>
      <c r="AA106" s="441"/>
      <c r="AB106" s="441"/>
      <c r="AC106" s="441"/>
      <c r="AD106" s="441"/>
      <c r="AE106" s="441"/>
      <c r="AF106" s="441"/>
      <c r="AG106" s="441"/>
      <c r="AH106" s="441"/>
      <c r="AI106" s="441"/>
      <c r="AJ106" s="441"/>
      <c r="AK106" s="441"/>
      <c r="AL106" s="441"/>
      <c r="AM106" s="441"/>
      <c r="AN106" s="441"/>
      <c r="AO106" s="441"/>
      <c r="AP106" s="441"/>
      <c r="AQ106" s="441"/>
      <c r="AR106" s="511" t="s">
        <v>797</v>
      </c>
      <c r="AS106" s="441"/>
      <c r="AT106" s="441"/>
      <c r="AU106" s="441"/>
      <c r="AV106" s="511" t="s">
        <v>797</v>
      </c>
      <c r="AW106" s="441"/>
      <c r="AX106" s="441"/>
      <c r="AY106" s="441"/>
      <c r="AZ106" s="442"/>
    </row>
    <row r="107" spans="1:52" ht="14.25">
      <c r="A107" s="572" t="str">
        <f t="shared" si="2"/>
        <v>Infinitum 279Residencial</v>
      </c>
      <c r="B107" s="437">
        <f t="shared" si="3"/>
        <v>11</v>
      </c>
      <c r="C107" s="255" t="s">
        <v>167</v>
      </c>
      <c r="D107" s="438" t="s">
        <v>358</v>
      </c>
      <c r="E107" s="438" t="s">
        <v>798</v>
      </c>
      <c r="F107" s="438" t="s">
        <v>683</v>
      </c>
      <c r="G107" s="89">
        <v>240.52</v>
      </c>
      <c r="H107" s="89">
        <v>279</v>
      </c>
      <c r="I107" s="440" t="s">
        <v>797</v>
      </c>
      <c r="J107" s="441"/>
      <c r="K107" s="441"/>
      <c r="L107" s="441"/>
      <c r="M107" s="440" t="s">
        <v>797</v>
      </c>
      <c r="N107" s="441"/>
      <c r="O107" s="441"/>
      <c r="P107" s="441"/>
      <c r="Q107" s="441"/>
      <c r="R107" s="441"/>
      <c r="S107" s="441"/>
      <c r="T107" s="441"/>
      <c r="U107" s="441"/>
      <c r="V107" s="441"/>
      <c r="W107" s="441"/>
      <c r="X107" s="441"/>
      <c r="Y107" s="441"/>
      <c r="Z107" s="441"/>
      <c r="AA107" s="441"/>
      <c r="AB107" s="441"/>
      <c r="AC107" s="441"/>
      <c r="AD107" s="441"/>
      <c r="AE107" s="441"/>
      <c r="AF107" s="441"/>
      <c r="AG107" s="441"/>
      <c r="AH107" s="441"/>
      <c r="AI107" s="441"/>
      <c r="AJ107" s="441"/>
      <c r="AK107" s="441"/>
      <c r="AL107" s="441"/>
      <c r="AM107" s="441"/>
      <c r="AN107" s="441"/>
      <c r="AO107" s="441"/>
      <c r="AP107" s="441"/>
      <c r="AQ107" s="441"/>
      <c r="AR107" s="511" t="s">
        <v>797</v>
      </c>
      <c r="AS107" s="441"/>
      <c r="AT107" s="441"/>
      <c r="AU107" s="441"/>
      <c r="AV107" s="511" t="s">
        <v>797</v>
      </c>
      <c r="AW107" s="441"/>
      <c r="AX107" s="441"/>
      <c r="AY107" s="441"/>
      <c r="AZ107" s="442"/>
    </row>
    <row r="108" spans="1:52" ht="14.25">
      <c r="A108" s="572" t="str">
        <f t="shared" si="2"/>
        <v>Infinitum 299 RResidencial</v>
      </c>
      <c r="B108" s="437">
        <f t="shared" si="3"/>
        <v>12</v>
      </c>
      <c r="C108" s="126" t="s">
        <v>170</v>
      </c>
      <c r="D108" s="438" t="s">
        <v>358</v>
      </c>
      <c r="E108" s="438" t="s">
        <v>798</v>
      </c>
      <c r="F108" s="438" t="s">
        <v>683</v>
      </c>
      <c r="G108" s="89">
        <v>257.76</v>
      </c>
      <c r="H108" s="89">
        <v>299</v>
      </c>
      <c r="I108" s="440" t="s">
        <v>797</v>
      </c>
      <c r="J108" s="441"/>
      <c r="K108" s="441"/>
      <c r="L108" s="441"/>
      <c r="M108" s="440" t="s">
        <v>797</v>
      </c>
      <c r="N108" s="441"/>
      <c r="O108" s="441"/>
      <c r="P108" s="441"/>
      <c r="Q108" s="441"/>
      <c r="R108" s="441"/>
      <c r="S108" s="441"/>
      <c r="T108" s="441"/>
      <c r="U108" s="441"/>
      <c r="V108" s="441"/>
      <c r="W108" s="441"/>
      <c r="X108" s="441"/>
      <c r="Y108" s="441"/>
      <c r="Z108" s="441"/>
      <c r="AA108" s="441"/>
      <c r="AB108" s="441"/>
      <c r="AC108" s="441"/>
      <c r="AD108" s="441"/>
      <c r="AE108" s="441"/>
      <c r="AF108" s="441"/>
      <c r="AG108" s="441"/>
      <c r="AH108" s="441"/>
      <c r="AI108" s="441"/>
      <c r="AJ108" s="441"/>
      <c r="AK108" s="441"/>
      <c r="AL108" s="441"/>
      <c r="AM108" s="441"/>
      <c r="AN108" s="441"/>
      <c r="AO108" s="441"/>
      <c r="AP108" s="441"/>
      <c r="AQ108" s="441"/>
      <c r="AR108" s="511" t="s">
        <v>797</v>
      </c>
      <c r="AS108" s="441"/>
      <c r="AT108" s="441"/>
      <c r="AU108" s="441"/>
      <c r="AV108" s="511" t="s">
        <v>797</v>
      </c>
      <c r="AW108" s="441"/>
      <c r="AX108" s="441"/>
      <c r="AY108" s="441"/>
      <c r="AZ108" s="442"/>
    </row>
    <row r="109" spans="1:52" ht="14.25">
      <c r="A109" s="572" t="str">
        <f t="shared" si="2"/>
        <v>Infinitum 349Residencial</v>
      </c>
      <c r="B109" s="437">
        <f t="shared" si="3"/>
        <v>13</v>
      </c>
      <c r="C109" s="255" t="s">
        <v>174</v>
      </c>
      <c r="D109" s="438" t="s">
        <v>358</v>
      </c>
      <c r="E109" s="438" t="s">
        <v>798</v>
      </c>
      <c r="F109" s="438" t="s">
        <v>683</v>
      </c>
      <c r="G109" s="89">
        <v>300.86</v>
      </c>
      <c r="H109" s="89">
        <v>348.99759999999998</v>
      </c>
      <c r="I109" s="440" t="s">
        <v>797</v>
      </c>
      <c r="J109" s="441"/>
      <c r="K109" s="441"/>
      <c r="L109" s="441"/>
      <c r="M109" s="440" t="s">
        <v>797</v>
      </c>
      <c r="N109" s="441"/>
      <c r="O109" s="441"/>
      <c r="P109" s="441"/>
      <c r="Q109" s="441"/>
      <c r="R109" s="441"/>
      <c r="S109" s="441"/>
      <c r="T109" s="441"/>
      <c r="U109" s="441"/>
      <c r="V109" s="441"/>
      <c r="W109" s="441"/>
      <c r="X109" s="441"/>
      <c r="Y109" s="441"/>
      <c r="Z109" s="441"/>
      <c r="AA109" s="441"/>
      <c r="AB109" s="441"/>
      <c r="AC109" s="441"/>
      <c r="AD109" s="441"/>
      <c r="AE109" s="441"/>
      <c r="AF109" s="441"/>
      <c r="AG109" s="441"/>
      <c r="AH109" s="441"/>
      <c r="AI109" s="441"/>
      <c r="AJ109" s="441"/>
      <c r="AK109" s="441"/>
      <c r="AL109" s="441"/>
      <c r="AM109" s="441"/>
      <c r="AN109" s="441"/>
      <c r="AO109" s="441"/>
      <c r="AP109" s="441"/>
      <c r="AQ109" s="441"/>
      <c r="AR109" s="511" t="s">
        <v>797</v>
      </c>
      <c r="AS109" s="441"/>
      <c r="AT109" s="441"/>
      <c r="AU109" s="441"/>
      <c r="AV109" s="511" t="s">
        <v>797</v>
      </c>
      <c r="AW109" s="441"/>
      <c r="AX109" s="441"/>
      <c r="AY109" s="441"/>
      <c r="AZ109" s="442"/>
    </row>
    <row r="110" spans="1:52" ht="14.25">
      <c r="A110" s="572" t="str">
        <f t="shared" si="2"/>
        <v>Infinitum 399Residencial</v>
      </c>
      <c r="B110" s="437">
        <f t="shared" si="3"/>
        <v>14</v>
      </c>
      <c r="C110" s="255" t="s">
        <v>178</v>
      </c>
      <c r="D110" s="438" t="s">
        <v>358</v>
      </c>
      <c r="E110" s="438" t="s">
        <v>798</v>
      </c>
      <c r="F110" s="438" t="s">
        <v>683</v>
      </c>
      <c r="G110" s="89">
        <v>343.97</v>
      </c>
      <c r="H110" s="89">
        <v>398.99520000000001</v>
      </c>
      <c r="I110" s="440" t="s">
        <v>797</v>
      </c>
      <c r="J110" s="441"/>
      <c r="K110" s="441"/>
      <c r="L110" s="441"/>
      <c r="M110" s="440" t="s">
        <v>797</v>
      </c>
      <c r="N110" s="441"/>
      <c r="O110" s="441"/>
      <c r="P110" s="441"/>
      <c r="Q110" s="441"/>
      <c r="R110" s="441"/>
      <c r="S110" s="441"/>
      <c r="T110" s="441"/>
      <c r="U110" s="441"/>
      <c r="V110" s="441"/>
      <c r="W110" s="441"/>
      <c r="X110" s="441"/>
      <c r="Y110" s="441"/>
      <c r="Z110" s="441"/>
      <c r="AA110" s="441"/>
      <c r="AB110" s="441"/>
      <c r="AC110" s="441"/>
      <c r="AD110" s="441"/>
      <c r="AE110" s="441"/>
      <c r="AF110" s="441"/>
      <c r="AG110" s="441"/>
      <c r="AH110" s="441"/>
      <c r="AI110" s="441"/>
      <c r="AJ110" s="441"/>
      <c r="AK110" s="441"/>
      <c r="AL110" s="441"/>
      <c r="AM110" s="441"/>
      <c r="AN110" s="441"/>
      <c r="AO110" s="441"/>
      <c r="AP110" s="441"/>
      <c r="AQ110" s="441"/>
      <c r="AR110" s="511" t="s">
        <v>797</v>
      </c>
      <c r="AS110" s="441"/>
      <c r="AT110" s="441"/>
      <c r="AU110" s="441"/>
      <c r="AV110" s="511" t="s">
        <v>797</v>
      </c>
      <c r="AW110" s="441"/>
      <c r="AX110" s="441"/>
      <c r="AY110" s="441"/>
      <c r="AZ110" s="442"/>
    </row>
    <row r="111" spans="1:52" ht="14.25">
      <c r="A111" s="572" t="str">
        <f t="shared" si="2"/>
        <v>Infinitum 449Residencial</v>
      </c>
      <c r="B111" s="437">
        <f t="shared" si="3"/>
        <v>15</v>
      </c>
      <c r="C111" s="255" t="s">
        <v>181</v>
      </c>
      <c r="D111" s="438" t="s">
        <v>358</v>
      </c>
      <c r="E111" s="438" t="s">
        <v>798</v>
      </c>
      <c r="F111" s="438" t="s">
        <v>683</v>
      </c>
      <c r="G111" s="89">
        <v>387.07</v>
      </c>
      <c r="H111" s="89">
        <v>449</v>
      </c>
      <c r="I111" s="440" t="s">
        <v>797</v>
      </c>
      <c r="J111" s="441"/>
      <c r="K111" s="441"/>
      <c r="L111" s="441"/>
      <c r="M111" s="440" t="s">
        <v>797</v>
      </c>
      <c r="N111" s="441"/>
      <c r="O111" s="441"/>
      <c r="P111" s="441"/>
      <c r="Q111" s="441"/>
      <c r="R111" s="441"/>
      <c r="S111" s="441"/>
      <c r="T111" s="441"/>
      <c r="U111" s="441"/>
      <c r="V111" s="441"/>
      <c r="W111" s="441"/>
      <c r="X111" s="441"/>
      <c r="Y111" s="441"/>
      <c r="Z111" s="441"/>
      <c r="AA111" s="441"/>
      <c r="AB111" s="441"/>
      <c r="AC111" s="441"/>
      <c r="AD111" s="441"/>
      <c r="AE111" s="441"/>
      <c r="AF111" s="441"/>
      <c r="AG111" s="441"/>
      <c r="AH111" s="441"/>
      <c r="AI111" s="441"/>
      <c r="AJ111" s="441"/>
      <c r="AK111" s="441"/>
      <c r="AL111" s="441"/>
      <c r="AM111" s="441"/>
      <c r="AN111" s="441"/>
      <c r="AO111" s="441"/>
      <c r="AP111" s="441"/>
      <c r="AQ111" s="441"/>
      <c r="AR111" s="511" t="s">
        <v>797</v>
      </c>
      <c r="AS111" s="441"/>
      <c r="AT111" s="441"/>
      <c r="AU111" s="441"/>
      <c r="AV111" s="511" t="s">
        <v>797</v>
      </c>
      <c r="AW111" s="441"/>
      <c r="AX111" s="441"/>
      <c r="AY111" s="441"/>
      <c r="AZ111" s="442"/>
    </row>
    <row r="112" spans="1:52" ht="14.25">
      <c r="A112" s="572" t="str">
        <f t="shared" si="2"/>
        <v>Infinitum 549Residencial</v>
      </c>
      <c r="B112" s="437">
        <f t="shared" si="3"/>
        <v>16</v>
      </c>
      <c r="C112" s="255" t="s">
        <v>183</v>
      </c>
      <c r="D112" s="438" t="s">
        <v>358</v>
      </c>
      <c r="E112" s="438" t="s">
        <v>798</v>
      </c>
      <c r="F112" s="438" t="s">
        <v>683</v>
      </c>
      <c r="G112" s="89">
        <v>473.28</v>
      </c>
      <c r="H112" s="89">
        <v>549</v>
      </c>
      <c r="I112" s="440" t="s">
        <v>797</v>
      </c>
      <c r="J112" s="441"/>
      <c r="K112" s="441"/>
      <c r="L112" s="441"/>
      <c r="M112" s="440" t="s">
        <v>797</v>
      </c>
      <c r="N112" s="441"/>
      <c r="O112" s="441"/>
      <c r="P112" s="441"/>
      <c r="Q112" s="441"/>
      <c r="R112" s="441"/>
      <c r="S112" s="441"/>
      <c r="T112" s="441"/>
      <c r="U112" s="441"/>
      <c r="V112" s="441"/>
      <c r="W112" s="441"/>
      <c r="X112" s="441"/>
      <c r="Y112" s="441"/>
      <c r="Z112" s="441"/>
      <c r="AA112" s="441"/>
      <c r="AB112" s="441"/>
      <c r="AC112" s="441"/>
      <c r="AD112" s="441"/>
      <c r="AE112" s="441"/>
      <c r="AF112" s="441"/>
      <c r="AG112" s="441"/>
      <c r="AH112" s="441"/>
      <c r="AI112" s="441"/>
      <c r="AJ112" s="441"/>
      <c r="AK112" s="441"/>
      <c r="AL112" s="441"/>
      <c r="AM112" s="441"/>
      <c r="AN112" s="441"/>
      <c r="AO112" s="441"/>
      <c r="AP112" s="441"/>
      <c r="AQ112" s="441"/>
      <c r="AR112" s="511" t="s">
        <v>797</v>
      </c>
      <c r="AS112" s="441"/>
      <c r="AT112" s="441"/>
      <c r="AU112" s="441"/>
      <c r="AV112" s="511" t="s">
        <v>797</v>
      </c>
      <c r="AW112" s="441"/>
      <c r="AX112" s="441"/>
      <c r="AY112" s="441"/>
      <c r="AZ112" s="442"/>
    </row>
    <row r="113" spans="1:52" ht="14.25">
      <c r="A113" s="572" t="str">
        <f t="shared" si="2"/>
        <v>Infinitum 899Residencial</v>
      </c>
      <c r="B113" s="437">
        <f t="shared" si="3"/>
        <v>17</v>
      </c>
      <c r="C113" s="255" t="s">
        <v>185</v>
      </c>
      <c r="D113" s="438" t="s">
        <v>358</v>
      </c>
      <c r="E113" s="438" t="s">
        <v>798</v>
      </c>
      <c r="F113" s="438" t="s">
        <v>683</v>
      </c>
      <c r="G113" s="89">
        <v>775</v>
      </c>
      <c r="H113" s="89">
        <v>898.99999999999989</v>
      </c>
      <c r="I113" s="440" t="s">
        <v>797</v>
      </c>
      <c r="J113" s="441"/>
      <c r="K113" s="441"/>
      <c r="L113" s="441"/>
      <c r="M113" s="440" t="s">
        <v>797</v>
      </c>
      <c r="N113" s="441"/>
      <c r="O113" s="441"/>
      <c r="P113" s="441"/>
      <c r="Q113" s="441"/>
      <c r="R113" s="441"/>
      <c r="S113" s="441"/>
      <c r="T113" s="441"/>
      <c r="U113" s="441"/>
      <c r="V113" s="441"/>
      <c r="W113" s="441"/>
      <c r="X113" s="441"/>
      <c r="Y113" s="441"/>
      <c r="Z113" s="441"/>
      <c r="AA113" s="441"/>
      <c r="AB113" s="441"/>
      <c r="AC113" s="441"/>
      <c r="AD113" s="441"/>
      <c r="AE113" s="441"/>
      <c r="AF113" s="441"/>
      <c r="AG113" s="441"/>
      <c r="AH113" s="441"/>
      <c r="AI113" s="441"/>
      <c r="AJ113" s="441"/>
      <c r="AK113" s="441"/>
      <c r="AL113" s="441"/>
      <c r="AM113" s="441"/>
      <c r="AN113" s="441"/>
      <c r="AO113" s="441"/>
      <c r="AP113" s="441"/>
      <c r="AQ113" s="441"/>
      <c r="AR113" s="511" t="s">
        <v>797</v>
      </c>
      <c r="AS113" s="441"/>
      <c r="AT113" s="441"/>
      <c r="AU113" s="441"/>
      <c r="AV113" s="511" t="s">
        <v>797</v>
      </c>
      <c r="AW113" s="441"/>
      <c r="AX113" s="441"/>
      <c r="AY113" s="441"/>
      <c r="AZ113" s="442"/>
    </row>
    <row r="114" spans="1:52" ht="14.25">
      <c r="A114" s="572" t="str">
        <f t="shared" si="2"/>
        <v>Paquete Conectes NegocioNo Residencial</v>
      </c>
      <c r="B114" s="437">
        <f t="shared" si="3"/>
        <v>18</v>
      </c>
      <c r="C114" s="255" t="s">
        <v>195</v>
      </c>
      <c r="D114" s="438" t="s">
        <v>359</v>
      </c>
      <c r="E114" s="438" t="s">
        <v>796</v>
      </c>
      <c r="F114" s="438" t="s">
        <v>683</v>
      </c>
      <c r="G114" s="89">
        <v>336.9</v>
      </c>
      <c r="H114" s="89">
        <v>399</v>
      </c>
      <c r="I114" s="440" t="s">
        <v>797</v>
      </c>
      <c r="J114" s="441"/>
      <c r="K114" s="441"/>
      <c r="L114" s="441"/>
      <c r="M114" s="440" t="s">
        <v>797</v>
      </c>
      <c r="N114" s="441"/>
      <c r="O114" s="441"/>
      <c r="P114" s="441"/>
      <c r="Q114" s="441"/>
      <c r="R114" s="441"/>
      <c r="S114" s="441"/>
      <c r="T114" s="441"/>
      <c r="U114" s="441"/>
      <c r="V114" s="441"/>
      <c r="W114" s="441"/>
      <c r="X114" s="441"/>
      <c r="Y114" s="441"/>
      <c r="Z114" s="441"/>
      <c r="AA114" s="441"/>
      <c r="AB114" s="441"/>
      <c r="AC114" s="441"/>
      <c r="AD114" s="441"/>
      <c r="AE114" s="441"/>
      <c r="AF114" s="441"/>
      <c r="AG114" s="441"/>
      <c r="AH114" s="441"/>
      <c r="AI114" s="441"/>
      <c r="AJ114" s="441"/>
      <c r="AK114" s="441"/>
      <c r="AL114" s="441"/>
      <c r="AM114" s="441"/>
      <c r="AN114" s="441"/>
      <c r="AO114" s="441"/>
      <c r="AP114" s="441"/>
      <c r="AQ114" s="441"/>
      <c r="AR114" s="511" t="s">
        <v>797</v>
      </c>
      <c r="AS114" s="441"/>
      <c r="AT114" s="441"/>
      <c r="AU114" s="441"/>
      <c r="AV114" s="511" t="s">
        <v>797</v>
      </c>
      <c r="AW114" s="441"/>
      <c r="AX114" s="441"/>
      <c r="AY114" s="441"/>
      <c r="AZ114" s="442"/>
    </row>
    <row r="115" spans="1:52" ht="14.25">
      <c r="A115" s="572" t="str">
        <f t="shared" si="2"/>
        <v>Paquete Mi NegocioNo Residencial</v>
      </c>
      <c r="B115" s="437">
        <f t="shared" si="3"/>
        <v>19</v>
      </c>
      <c r="C115" s="255" t="s">
        <v>197</v>
      </c>
      <c r="D115" s="438" t="s">
        <v>359</v>
      </c>
      <c r="E115" s="438" t="s">
        <v>796</v>
      </c>
      <c r="F115" s="438" t="s">
        <v>683</v>
      </c>
      <c r="G115" s="89">
        <v>463.55</v>
      </c>
      <c r="H115" s="89">
        <v>549</v>
      </c>
      <c r="I115" s="440" t="s">
        <v>797</v>
      </c>
      <c r="J115" s="441"/>
      <c r="K115" s="441"/>
      <c r="L115" s="441"/>
      <c r="M115" s="440" t="s">
        <v>797</v>
      </c>
      <c r="N115" s="441"/>
      <c r="O115" s="441"/>
      <c r="P115" s="441"/>
      <c r="Q115" s="441"/>
      <c r="R115" s="441"/>
      <c r="S115" s="441"/>
      <c r="T115" s="441"/>
      <c r="U115" s="441"/>
      <c r="V115" s="441"/>
      <c r="W115" s="441"/>
      <c r="X115" s="441"/>
      <c r="Y115" s="441"/>
      <c r="Z115" s="441"/>
      <c r="AA115" s="441"/>
      <c r="AB115" s="441"/>
      <c r="AC115" s="441"/>
      <c r="AD115" s="441"/>
      <c r="AE115" s="441"/>
      <c r="AF115" s="441"/>
      <c r="AG115" s="441"/>
      <c r="AH115" s="441"/>
      <c r="AI115" s="441"/>
      <c r="AJ115" s="441"/>
      <c r="AK115" s="441"/>
      <c r="AL115" s="441"/>
      <c r="AM115" s="441"/>
      <c r="AN115" s="441"/>
      <c r="AO115" s="441"/>
      <c r="AP115" s="441"/>
      <c r="AQ115" s="441"/>
      <c r="AR115" s="511" t="s">
        <v>797</v>
      </c>
      <c r="AS115" s="441"/>
      <c r="AT115" s="441"/>
      <c r="AU115" s="441"/>
      <c r="AV115" s="511" t="s">
        <v>797</v>
      </c>
      <c r="AW115" s="441"/>
      <c r="AX115" s="441"/>
      <c r="AY115" s="441"/>
      <c r="AZ115" s="442"/>
    </row>
    <row r="116" spans="1:52" ht="14.25">
      <c r="A116" s="572" t="str">
        <f t="shared" si="2"/>
        <v>Paquete Negocio 649No Residencial</v>
      </c>
      <c r="B116" s="437">
        <f t="shared" si="3"/>
        <v>20</v>
      </c>
      <c r="C116" s="255" t="s">
        <v>199</v>
      </c>
      <c r="D116" s="438" t="s">
        <v>359</v>
      </c>
      <c r="E116" s="438" t="s">
        <v>796</v>
      </c>
      <c r="F116" s="438" t="s">
        <v>683</v>
      </c>
      <c r="G116" s="89">
        <v>547.98</v>
      </c>
      <c r="H116" s="89">
        <v>649</v>
      </c>
      <c r="I116" s="440" t="s">
        <v>797</v>
      </c>
      <c r="J116" s="441"/>
      <c r="K116" s="441"/>
      <c r="L116" s="441"/>
      <c r="M116" s="440" t="s">
        <v>797</v>
      </c>
      <c r="N116" s="441"/>
      <c r="O116" s="441"/>
      <c r="P116" s="441"/>
      <c r="Q116" s="441"/>
      <c r="R116" s="441"/>
      <c r="S116" s="441"/>
      <c r="T116" s="441"/>
      <c r="U116" s="441"/>
      <c r="V116" s="441"/>
      <c r="W116" s="441"/>
      <c r="X116" s="441"/>
      <c r="Y116" s="441"/>
      <c r="Z116" s="441"/>
      <c r="AA116" s="441"/>
      <c r="AB116" s="441"/>
      <c r="AC116" s="441"/>
      <c r="AD116" s="441"/>
      <c r="AE116" s="441"/>
      <c r="AF116" s="441"/>
      <c r="AG116" s="441"/>
      <c r="AH116" s="441"/>
      <c r="AI116" s="441"/>
      <c r="AJ116" s="441"/>
      <c r="AK116" s="441"/>
      <c r="AL116" s="441"/>
      <c r="AM116" s="441"/>
      <c r="AN116" s="441"/>
      <c r="AO116" s="441"/>
      <c r="AP116" s="441"/>
      <c r="AQ116" s="441"/>
      <c r="AR116" s="511" t="s">
        <v>797</v>
      </c>
      <c r="AS116" s="441"/>
      <c r="AT116" s="441"/>
      <c r="AU116" s="441"/>
      <c r="AV116" s="511" t="s">
        <v>797</v>
      </c>
      <c r="AW116" s="441"/>
      <c r="AX116" s="441"/>
      <c r="AY116" s="441"/>
      <c r="AZ116" s="442"/>
    </row>
    <row r="117" spans="1:52" ht="14.25">
      <c r="A117" s="572" t="str">
        <f t="shared" si="2"/>
        <v>Paquete SupernegocioNo Residencial</v>
      </c>
      <c r="B117" s="437">
        <f t="shared" si="3"/>
        <v>21</v>
      </c>
      <c r="C117" s="255" t="s">
        <v>201</v>
      </c>
      <c r="D117" s="438" t="s">
        <v>359</v>
      </c>
      <c r="E117" s="438" t="s">
        <v>796</v>
      </c>
      <c r="F117" s="438" t="s">
        <v>683</v>
      </c>
      <c r="G117" s="89">
        <v>674.64</v>
      </c>
      <c r="H117" s="89">
        <v>799</v>
      </c>
      <c r="I117" s="440" t="s">
        <v>797</v>
      </c>
      <c r="J117" s="441"/>
      <c r="K117" s="441"/>
      <c r="L117" s="441"/>
      <c r="M117" s="440" t="s">
        <v>797</v>
      </c>
      <c r="N117" s="441"/>
      <c r="O117" s="441"/>
      <c r="P117" s="441"/>
      <c r="Q117" s="441"/>
      <c r="R117" s="441"/>
      <c r="S117" s="441"/>
      <c r="T117" s="441"/>
      <c r="U117" s="441"/>
      <c r="V117" s="441"/>
      <c r="W117" s="441"/>
      <c r="X117" s="441"/>
      <c r="Y117" s="441"/>
      <c r="Z117" s="441"/>
      <c r="AA117" s="441"/>
      <c r="AB117" s="441"/>
      <c r="AC117" s="441"/>
      <c r="AD117" s="441"/>
      <c r="AE117" s="441"/>
      <c r="AF117" s="441"/>
      <c r="AG117" s="441"/>
      <c r="AH117" s="441"/>
      <c r="AI117" s="441"/>
      <c r="AJ117" s="441"/>
      <c r="AK117" s="441"/>
      <c r="AL117" s="441"/>
      <c r="AM117" s="441"/>
      <c r="AN117" s="441"/>
      <c r="AO117" s="441"/>
      <c r="AP117" s="441"/>
      <c r="AQ117" s="441"/>
      <c r="AR117" s="511" t="s">
        <v>797</v>
      </c>
      <c r="AS117" s="441"/>
      <c r="AT117" s="441"/>
      <c r="AU117" s="441"/>
      <c r="AV117" s="511" t="s">
        <v>797</v>
      </c>
      <c r="AW117" s="441"/>
      <c r="AX117" s="441"/>
      <c r="AY117" s="441"/>
      <c r="AZ117" s="442"/>
    </row>
    <row r="118" spans="1:52" ht="14.25">
      <c r="A118" s="572" t="str">
        <f t="shared" si="2"/>
        <v>Paquete Negocio 999No Residencial</v>
      </c>
      <c r="B118" s="437">
        <f t="shared" si="3"/>
        <v>22</v>
      </c>
      <c r="C118" s="255" t="s">
        <v>203</v>
      </c>
      <c r="D118" s="438" t="s">
        <v>359</v>
      </c>
      <c r="E118" s="438" t="s">
        <v>796</v>
      </c>
      <c r="F118" s="438" t="s">
        <v>683</v>
      </c>
      <c r="G118" s="89">
        <v>843.5</v>
      </c>
      <c r="H118" s="89">
        <v>999</v>
      </c>
      <c r="I118" s="440" t="s">
        <v>797</v>
      </c>
      <c r="J118" s="441"/>
      <c r="K118" s="441"/>
      <c r="L118" s="441"/>
      <c r="M118" s="440" t="s">
        <v>797</v>
      </c>
      <c r="N118" s="441"/>
      <c r="O118" s="441"/>
      <c r="P118" s="441"/>
      <c r="Q118" s="441"/>
      <c r="R118" s="441"/>
      <c r="S118" s="441"/>
      <c r="T118" s="441"/>
      <c r="U118" s="441"/>
      <c r="V118" s="441"/>
      <c r="W118" s="441"/>
      <c r="X118" s="441"/>
      <c r="Y118" s="441"/>
      <c r="Z118" s="441"/>
      <c r="AA118" s="441"/>
      <c r="AB118" s="441"/>
      <c r="AC118" s="441"/>
      <c r="AD118" s="441"/>
      <c r="AE118" s="441"/>
      <c r="AF118" s="441"/>
      <c r="AG118" s="441"/>
      <c r="AH118" s="441"/>
      <c r="AI118" s="441"/>
      <c r="AJ118" s="441"/>
      <c r="AK118" s="441"/>
      <c r="AL118" s="441"/>
      <c r="AM118" s="441"/>
      <c r="AN118" s="441"/>
      <c r="AO118" s="441"/>
      <c r="AP118" s="441"/>
      <c r="AQ118" s="441"/>
      <c r="AR118" s="511" t="s">
        <v>797</v>
      </c>
      <c r="AS118" s="441"/>
      <c r="AT118" s="441"/>
      <c r="AU118" s="441"/>
      <c r="AV118" s="511" t="s">
        <v>797</v>
      </c>
      <c r="AW118" s="441"/>
      <c r="AX118" s="441"/>
      <c r="AY118" s="441"/>
      <c r="AZ118" s="442"/>
    </row>
    <row r="119" spans="1:52" ht="14.25">
      <c r="A119" s="572" t="str">
        <f t="shared" si="2"/>
        <v>Paquete Telmex Negocio Ilimitado 1No Residencial</v>
      </c>
      <c r="B119" s="437">
        <f t="shared" si="3"/>
        <v>23</v>
      </c>
      <c r="C119" s="255" t="s">
        <v>205</v>
      </c>
      <c r="D119" s="438" t="s">
        <v>359</v>
      </c>
      <c r="E119" s="438" t="s">
        <v>796</v>
      </c>
      <c r="F119" s="438" t="s">
        <v>683</v>
      </c>
      <c r="G119" s="89">
        <v>1265.6600000000001</v>
      </c>
      <c r="H119" s="89">
        <v>1499</v>
      </c>
      <c r="I119" s="440" t="s">
        <v>797</v>
      </c>
      <c r="J119" s="441"/>
      <c r="K119" s="441"/>
      <c r="L119" s="441"/>
      <c r="M119" s="440" t="s">
        <v>797</v>
      </c>
      <c r="N119" s="441"/>
      <c r="O119" s="441"/>
      <c r="P119" s="441"/>
      <c r="Q119" s="441"/>
      <c r="R119" s="441"/>
      <c r="S119" s="441"/>
      <c r="T119" s="441"/>
      <c r="U119" s="441"/>
      <c r="V119" s="441"/>
      <c r="W119" s="441"/>
      <c r="X119" s="441"/>
      <c r="Y119" s="441"/>
      <c r="Z119" s="441"/>
      <c r="AA119" s="441"/>
      <c r="AB119" s="441"/>
      <c r="AC119" s="441"/>
      <c r="AD119" s="441"/>
      <c r="AE119" s="441"/>
      <c r="AF119" s="441"/>
      <c r="AG119" s="441"/>
      <c r="AH119" s="441"/>
      <c r="AI119" s="441"/>
      <c r="AJ119" s="441"/>
      <c r="AK119" s="441"/>
      <c r="AL119" s="441"/>
      <c r="AM119" s="441"/>
      <c r="AN119" s="441"/>
      <c r="AO119" s="441"/>
      <c r="AP119" s="441"/>
      <c r="AQ119" s="441"/>
      <c r="AR119" s="511" t="s">
        <v>797</v>
      </c>
      <c r="AS119" s="441"/>
      <c r="AT119" s="441"/>
      <c r="AU119" s="441"/>
      <c r="AV119" s="511" t="s">
        <v>797</v>
      </c>
      <c r="AW119" s="441"/>
      <c r="AX119" s="441"/>
      <c r="AY119" s="441"/>
      <c r="AZ119" s="442"/>
    </row>
    <row r="120" spans="1:52" ht="14.25">
      <c r="A120" s="572" t="str">
        <f t="shared" si="2"/>
        <v>Paquete Telmex Negocio Ilimitado 2No Residencial</v>
      </c>
      <c r="B120" s="437">
        <f t="shared" si="3"/>
        <v>24</v>
      </c>
      <c r="C120" s="255" t="s">
        <v>206</v>
      </c>
      <c r="D120" s="438" t="s">
        <v>359</v>
      </c>
      <c r="E120" s="438" t="s">
        <v>796</v>
      </c>
      <c r="F120" s="438" t="s">
        <v>683</v>
      </c>
      <c r="G120" s="89">
        <v>1510.52</v>
      </c>
      <c r="H120" s="89">
        <v>1789</v>
      </c>
      <c r="I120" s="440" t="s">
        <v>797</v>
      </c>
      <c r="J120" s="441"/>
      <c r="K120" s="441"/>
      <c r="L120" s="441"/>
      <c r="M120" s="440" t="s">
        <v>797</v>
      </c>
      <c r="N120" s="441"/>
      <c r="O120" s="441"/>
      <c r="P120" s="441"/>
      <c r="Q120" s="441"/>
      <c r="R120" s="441"/>
      <c r="S120" s="441"/>
      <c r="T120" s="441"/>
      <c r="U120" s="441"/>
      <c r="V120" s="441"/>
      <c r="W120" s="441"/>
      <c r="X120" s="441"/>
      <c r="Y120" s="441"/>
      <c r="Z120" s="441"/>
      <c r="AA120" s="441"/>
      <c r="AB120" s="441"/>
      <c r="AC120" s="441"/>
      <c r="AD120" s="441"/>
      <c r="AE120" s="441"/>
      <c r="AF120" s="441"/>
      <c r="AG120" s="441"/>
      <c r="AH120" s="441"/>
      <c r="AI120" s="441"/>
      <c r="AJ120" s="441"/>
      <c r="AK120" s="441"/>
      <c r="AL120" s="441"/>
      <c r="AM120" s="441"/>
      <c r="AN120" s="441"/>
      <c r="AO120" s="441"/>
      <c r="AP120" s="441"/>
      <c r="AQ120" s="441"/>
      <c r="AR120" s="511" t="s">
        <v>797</v>
      </c>
      <c r="AS120" s="441"/>
      <c r="AT120" s="441"/>
      <c r="AU120" s="441"/>
      <c r="AV120" s="511" t="s">
        <v>797</v>
      </c>
      <c r="AW120" s="441"/>
      <c r="AX120" s="441"/>
      <c r="AY120" s="441"/>
      <c r="AZ120" s="442"/>
    </row>
    <row r="121" spans="1:52" ht="14.25">
      <c r="A121" s="572" t="str">
        <f t="shared" si="2"/>
        <v>Paquete Telmex Negocio Ilimitado 3No Residencial</v>
      </c>
      <c r="B121" s="437">
        <f t="shared" si="3"/>
        <v>25</v>
      </c>
      <c r="C121" s="255" t="s">
        <v>207</v>
      </c>
      <c r="D121" s="438" t="s">
        <v>359</v>
      </c>
      <c r="E121" s="438" t="s">
        <v>796</v>
      </c>
      <c r="F121" s="438" t="s">
        <v>683</v>
      </c>
      <c r="G121" s="89">
        <v>1932.69</v>
      </c>
      <c r="H121" s="89">
        <v>2289</v>
      </c>
      <c r="I121" s="440" t="s">
        <v>797</v>
      </c>
      <c r="J121" s="441"/>
      <c r="K121" s="441"/>
      <c r="L121" s="441"/>
      <c r="M121" s="440" t="s">
        <v>797</v>
      </c>
      <c r="N121" s="441"/>
      <c r="O121" s="441"/>
      <c r="P121" s="441"/>
      <c r="Q121" s="441"/>
      <c r="R121" s="441"/>
      <c r="S121" s="441"/>
      <c r="T121" s="441"/>
      <c r="U121" s="441"/>
      <c r="V121" s="441"/>
      <c r="W121" s="441"/>
      <c r="X121" s="441"/>
      <c r="Y121" s="441"/>
      <c r="Z121" s="441"/>
      <c r="AA121" s="441"/>
      <c r="AB121" s="441"/>
      <c r="AC121" s="441"/>
      <c r="AD121" s="441"/>
      <c r="AE121" s="441"/>
      <c r="AF121" s="441"/>
      <c r="AG121" s="441"/>
      <c r="AH121" s="441"/>
      <c r="AI121" s="441"/>
      <c r="AJ121" s="441"/>
      <c r="AK121" s="441"/>
      <c r="AL121" s="441"/>
      <c r="AM121" s="441"/>
      <c r="AN121" s="441"/>
      <c r="AO121" s="441"/>
      <c r="AP121" s="441"/>
      <c r="AQ121" s="441"/>
      <c r="AR121" s="511" t="s">
        <v>797</v>
      </c>
      <c r="AS121" s="441"/>
      <c r="AT121" s="441"/>
      <c r="AU121" s="441"/>
      <c r="AV121" s="511" t="s">
        <v>797</v>
      </c>
      <c r="AW121" s="441"/>
      <c r="AX121" s="441"/>
      <c r="AY121" s="441"/>
      <c r="AZ121" s="442"/>
    </row>
    <row r="122" spans="1:52" ht="14.25">
      <c r="A122" s="572" t="str">
        <f t="shared" si="2"/>
        <v>Infinitum 299 NNo Residencial</v>
      </c>
      <c r="B122" s="437">
        <f t="shared" si="3"/>
        <v>26</v>
      </c>
      <c r="C122" s="126" t="s">
        <v>188</v>
      </c>
      <c r="D122" s="438" t="s">
        <v>359</v>
      </c>
      <c r="E122" s="438" t="s">
        <v>798</v>
      </c>
      <c r="F122" s="438" t="s">
        <v>683</v>
      </c>
      <c r="G122" s="89">
        <v>257.76</v>
      </c>
      <c r="H122" s="89">
        <v>299</v>
      </c>
      <c r="I122" s="440" t="s">
        <v>797</v>
      </c>
      <c r="J122" s="441"/>
      <c r="K122" s="441"/>
      <c r="L122" s="441"/>
      <c r="M122" s="440" t="s">
        <v>797</v>
      </c>
      <c r="N122" s="441"/>
      <c r="O122" s="441"/>
      <c r="P122" s="441"/>
      <c r="Q122" s="441"/>
      <c r="R122" s="441"/>
      <c r="S122" s="441"/>
      <c r="T122" s="441"/>
      <c r="U122" s="441"/>
      <c r="V122" s="441"/>
      <c r="W122" s="441"/>
      <c r="X122" s="441"/>
      <c r="Y122" s="441"/>
      <c r="Z122" s="441"/>
      <c r="AA122" s="441"/>
      <c r="AB122" s="441"/>
      <c r="AC122" s="441"/>
      <c r="AD122" s="441"/>
      <c r="AE122" s="441"/>
      <c r="AF122" s="441"/>
      <c r="AG122" s="441"/>
      <c r="AH122" s="441"/>
      <c r="AI122" s="441"/>
      <c r="AJ122" s="441"/>
      <c r="AK122" s="441"/>
      <c r="AL122" s="441"/>
      <c r="AM122" s="441"/>
      <c r="AN122" s="441"/>
      <c r="AO122" s="441"/>
      <c r="AP122" s="441"/>
      <c r="AQ122" s="441"/>
      <c r="AR122" s="511" t="s">
        <v>797</v>
      </c>
      <c r="AS122" s="441"/>
      <c r="AT122" s="441"/>
      <c r="AU122" s="441"/>
      <c r="AV122" s="511" t="s">
        <v>797</v>
      </c>
      <c r="AW122" s="441"/>
      <c r="AX122" s="441"/>
      <c r="AY122" s="441"/>
      <c r="AZ122" s="442"/>
    </row>
    <row r="123" spans="1:52" ht="14.25">
      <c r="A123" s="572" t="str">
        <f t="shared" si="2"/>
        <v>Infinitum Negocio 349No Residencial</v>
      </c>
      <c r="B123" s="437">
        <f t="shared" si="3"/>
        <v>27</v>
      </c>
      <c r="C123" s="255" t="s">
        <v>190</v>
      </c>
      <c r="D123" s="438" t="s">
        <v>359</v>
      </c>
      <c r="E123" s="438" t="s">
        <v>798</v>
      </c>
      <c r="F123" s="438" t="s">
        <v>683</v>
      </c>
      <c r="G123" s="89">
        <v>300.86</v>
      </c>
      <c r="H123" s="89">
        <v>348.99759999999998</v>
      </c>
      <c r="I123" s="440" t="s">
        <v>797</v>
      </c>
      <c r="J123" s="441"/>
      <c r="K123" s="441"/>
      <c r="L123" s="441"/>
      <c r="M123" s="440" t="s">
        <v>797</v>
      </c>
      <c r="N123" s="441"/>
      <c r="O123" s="441"/>
      <c r="P123" s="441"/>
      <c r="Q123" s="441"/>
      <c r="R123" s="441"/>
      <c r="S123" s="441"/>
      <c r="T123" s="441"/>
      <c r="U123" s="441"/>
      <c r="V123" s="441"/>
      <c r="W123" s="441"/>
      <c r="X123" s="441"/>
      <c r="Y123" s="441"/>
      <c r="Z123" s="441"/>
      <c r="AA123" s="441"/>
      <c r="AB123" s="441"/>
      <c r="AC123" s="441"/>
      <c r="AD123" s="441"/>
      <c r="AE123" s="441"/>
      <c r="AF123" s="441"/>
      <c r="AG123" s="441"/>
      <c r="AH123" s="441"/>
      <c r="AI123" s="441"/>
      <c r="AJ123" s="441"/>
      <c r="AK123" s="441"/>
      <c r="AL123" s="441"/>
      <c r="AM123" s="441"/>
      <c r="AN123" s="441"/>
      <c r="AO123" s="441"/>
      <c r="AP123" s="441"/>
      <c r="AQ123" s="441"/>
      <c r="AR123" s="511" t="s">
        <v>797</v>
      </c>
      <c r="AS123" s="441"/>
      <c r="AT123" s="441"/>
      <c r="AU123" s="441"/>
      <c r="AV123" s="511" t="s">
        <v>797</v>
      </c>
      <c r="AW123" s="441"/>
      <c r="AX123" s="441"/>
      <c r="AY123" s="441"/>
      <c r="AZ123" s="442"/>
    </row>
    <row r="124" spans="1:52" ht="14.25">
      <c r="A124" s="572" t="str">
        <f t="shared" si="2"/>
        <v>Infinitum Negocio 399No Residencial</v>
      </c>
      <c r="B124" s="437">
        <f t="shared" si="3"/>
        <v>28</v>
      </c>
      <c r="C124" s="255" t="s">
        <v>192</v>
      </c>
      <c r="D124" s="438" t="s">
        <v>359</v>
      </c>
      <c r="E124" s="438" t="s">
        <v>798</v>
      </c>
      <c r="F124" s="438" t="s">
        <v>683</v>
      </c>
      <c r="G124" s="89">
        <v>343.97</v>
      </c>
      <c r="H124" s="89">
        <v>398.99520000000001</v>
      </c>
      <c r="I124" s="440" t="s">
        <v>797</v>
      </c>
      <c r="J124" s="441"/>
      <c r="K124" s="441"/>
      <c r="L124" s="441"/>
      <c r="M124" s="440" t="s">
        <v>797</v>
      </c>
      <c r="N124" s="441"/>
      <c r="O124" s="441"/>
      <c r="P124" s="441"/>
      <c r="Q124" s="441"/>
      <c r="R124" s="441"/>
      <c r="S124" s="441"/>
      <c r="T124" s="441"/>
      <c r="U124" s="441"/>
      <c r="V124" s="441"/>
      <c r="W124" s="441"/>
      <c r="X124" s="441"/>
      <c r="Y124" s="441"/>
      <c r="Z124" s="441"/>
      <c r="AA124" s="441"/>
      <c r="AB124" s="441"/>
      <c r="AC124" s="441"/>
      <c r="AD124" s="441"/>
      <c r="AE124" s="441"/>
      <c r="AF124" s="441"/>
      <c r="AG124" s="441"/>
      <c r="AH124" s="441"/>
      <c r="AI124" s="441"/>
      <c r="AJ124" s="441"/>
      <c r="AK124" s="441"/>
      <c r="AL124" s="441"/>
      <c r="AM124" s="441"/>
      <c r="AN124" s="441"/>
      <c r="AO124" s="441"/>
      <c r="AP124" s="441"/>
      <c r="AQ124" s="441"/>
      <c r="AR124" s="511" t="s">
        <v>797</v>
      </c>
      <c r="AS124" s="441"/>
      <c r="AT124" s="441"/>
      <c r="AU124" s="441"/>
      <c r="AV124" s="511" t="s">
        <v>797</v>
      </c>
      <c r="AW124" s="441"/>
      <c r="AX124" s="441"/>
      <c r="AY124" s="441"/>
      <c r="AZ124" s="442"/>
    </row>
    <row r="125" spans="1:52" ht="14.25">
      <c r="A125" s="572" t="str">
        <f t="shared" si="2"/>
        <v>Infinitum Negocio 449No Residencial</v>
      </c>
      <c r="B125" s="437">
        <f t="shared" si="3"/>
        <v>29</v>
      </c>
      <c r="C125" s="255" t="s">
        <v>193</v>
      </c>
      <c r="D125" s="438" t="s">
        <v>359</v>
      </c>
      <c r="E125" s="438" t="s">
        <v>798</v>
      </c>
      <c r="F125" s="438" t="s">
        <v>683</v>
      </c>
      <c r="G125" s="89">
        <v>387.07</v>
      </c>
      <c r="H125" s="89">
        <v>449</v>
      </c>
      <c r="I125" s="440" t="s">
        <v>797</v>
      </c>
      <c r="J125" s="441"/>
      <c r="K125" s="441"/>
      <c r="L125" s="441"/>
      <c r="M125" s="440" t="s">
        <v>797</v>
      </c>
      <c r="N125" s="441"/>
      <c r="O125" s="441"/>
      <c r="P125" s="441"/>
      <c r="Q125" s="441"/>
      <c r="R125" s="441"/>
      <c r="S125" s="441"/>
      <c r="T125" s="441"/>
      <c r="U125" s="441"/>
      <c r="V125" s="441"/>
      <c r="W125" s="441"/>
      <c r="X125" s="441"/>
      <c r="Y125" s="441"/>
      <c r="Z125" s="441"/>
      <c r="AA125" s="441"/>
      <c r="AB125" s="441"/>
      <c r="AC125" s="441"/>
      <c r="AD125" s="441"/>
      <c r="AE125" s="441"/>
      <c r="AF125" s="441"/>
      <c r="AG125" s="441"/>
      <c r="AH125" s="441"/>
      <c r="AI125" s="441"/>
      <c r="AJ125" s="441"/>
      <c r="AK125" s="441"/>
      <c r="AL125" s="441"/>
      <c r="AM125" s="441"/>
      <c r="AN125" s="441"/>
      <c r="AO125" s="441"/>
      <c r="AP125" s="441"/>
      <c r="AQ125" s="441"/>
      <c r="AR125" s="511" t="s">
        <v>797</v>
      </c>
      <c r="AS125" s="441"/>
      <c r="AT125" s="441"/>
      <c r="AU125" s="441"/>
      <c r="AV125" s="511" t="s">
        <v>797</v>
      </c>
      <c r="AW125" s="441"/>
      <c r="AX125" s="441"/>
      <c r="AY125" s="441"/>
      <c r="AZ125" s="442"/>
    </row>
    <row r="126" spans="1:52" ht="14.25">
      <c r="A126" s="572" t="str">
        <f t="shared" si="2"/>
        <v>Infinitum Negocio 549No Residencial</v>
      </c>
      <c r="B126" s="437">
        <f t="shared" si="3"/>
        <v>30</v>
      </c>
      <c r="C126" s="255" t="s">
        <v>194</v>
      </c>
      <c r="D126" s="438" t="s">
        <v>359</v>
      </c>
      <c r="E126" s="438" t="s">
        <v>798</v>
      </c>
      <c r="F126" s="438" t="s">
        <v>683</v>
      </c>
      <c r="G126" s="89">
        <v>473.28</v>
      </c>
      <c r="H126" s="89">
        <v>549</v>
      </c>
      <c r="I126" s="440" t="s">
        <v>797</v>
      </c>
      <c r="J126" s="441"/>
      <c r="K126" s="441"/>
      <c r="L126" s="441"/>
      <c r="M126" s="440" t="s">
        <v>797</v>
      </c>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511" t="s">
        <v>797</v>
      </c>
      <c r="AS126" s="441"/>
      <c r="AT126" s="441"/>
      <c r="AU126" s="441"/>
      <c r="AV126" s="511" t="s">
        <v>797</v>
      </c>
      <c r="AW126" s="441"/>
      <c r="AX126" s="441"/>
      <c r="AY126" s="441"/>
      <c r="AZ126" s="442"/>
    </row>
    <row r="127" spans="1:52" ht="14.25">
      <c r="A127" s="572" t="str">
        <f t="shared" si="2"/>
        <v>Infinitum Negocio 899No Residencial</v>
      </c>
      <c r="B127" s="437">
        <f t="shared" si="3"/>
        <v>31</v>
      </c>
      <c r="C127" s="255" t="s">
        <v>196</v>
      </c>
      <c r="D127" s="438" t="s">
        <v>359</v>
      </c>
      <c r="E127" s="438" t="s">
        <v>798</v>
      </c>
      <c r="F127" s="438" t="s">
        <v>683</v>
      </c>
      <c r="G127" s="89">
        <v>775</v>
      </c>
      <c r="H127" s="89">
        <v>898.99999999999989</v>
      </c>
      <c r="I127" s="440" t="s">
        <v>797</v>
      </c>
      <c r="J127" s="441"/>
      <c r="K127" s="441"/>
      <c r="L127" s="441"/>
      <c r="M127" s="440" t="s">
        <v>797</v>
      </c>
      <c r="N127" s="441"/>
      <c r="O127" s="441"/>
      <c r="P127" s="441"/>
      <c r="Q127" s="441"/>
      <c r="R127" s="441"/>
      <c r="S127" s="441"/>
      <c r="T127" s="441"/>
      <c r="U127" s="441"/>
      <c r="V127" s="441"/>
      <c r="W127" s="441"/>
      <c r="X127" s="441"/>
      <c r="Y127" s="441"/>
      <c r="Z127" s="441"/>
      <c r="AA127" s="441"/>
      <c r="AB127" s="441"/>
      <c r="AC127" s="441"/>
      <c r="AD127" s="441"/>
      <c r="AE127" s="441"/>
      <c r="AF127" s="441"/>
      <c r="AG127" s="441"/>
      <c r="AH127" s="441"/>
      <c r="AI127" s="441"/>
      <c r="AJ127" s="441"/>
      <c r="AK127" s="441"/>
      <c r="AL127" s="441"/>
      <c r="AM127" s="441"/>
      <c r="AN127" s="441"/>
      <c r="AO127" s="441"/>
      <c r="AP127" s="441"/>
      <c r="AQ127" s="441"/>
      <c r="AR127" s="511" t="s">
        <v>797</v>
      </c>
      <c r="AS127" s="441"/>
      <c r="AT127" s="441"/>
      <c r="AU127" s="441"/>
      <c r="AV127" s="511" t="s">
        <v>797</v>
      </c>
      <c r="AW127" s="441"/>
      <c r="AX127" s="441"/>
      <c r="AY127" s="441"/>
      <c r="AZ127" s="442"/>
    </row>
    <row r="128" spans="1:52" ht="14.25">
      <c r="A128" s="572" t="str">
        <f t="shared" si="2"/>
        <v>Infinitum NegocioNo Residencial</v>
      </c>
      <c r="B128" s="437">
        <f t="shared" si="3"/>
        <v>32</v>
      </c>
      <c r="C128" s="255" t="s">
        <v>198</v>
      </c>
      <c r="D128" s="438" t="s">
        <v>359</v>
      </c>
      <c r="E128" s="438" t="s">
        <v>798</v>
      </c>
      <c r="F128" s="438" t="s">
        <v>683</v>
      </c>
      <c r="G128" s="89">
        <v>349</v>
      </c>
      <c r="H128" s="89">
        <v>404.84</v>
      </c>
      <c r="I128" s="440" t="s">
        <v>797</v>
      </c>
      <c r="J128" s="441"/>
      <c r="K128" s="441"/>
      <c r="L128" s="441"/>
      <c r="M128" s="440" t="s">
        <v>797</v>
      </c>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511" t="s">
        <v>797</v>
      </c>
      <c r="AS128" s="441"/>
      <c r="AT128" s="441"/>
      <c r="AU128" s="441"/>
      <c r="AV128" s="511" t="s">
        <v>797</v>
      </c>
      <c r="AW128" s="441"/>
      <c r="AX128" s="441"/>
      <c r="AY128" s="441" t="s">
        <v>797</v>
      </c>
      <c r="AZ128" s="442"/>
    </row>
    <row r="129" spans="1:52" ht="14.25">
      <c r="A129" s="572" t="str">
        <f t="shared" si="2"/>
        <v>Infinitum Negocio RedNo Residencial</v>
      </c>
      <c r="B129" s="437">
        <f t="shared" si="3"/>
        <v>33</v>
      </c>
      <c r="C129" s="255" t="s">
        <v>200</v>
      </c>
      <c r="D129" s="438" t="s">
        <v>359</v>
      </c>
      <c r="E129" s="438" t="s">
        <v>798</v>
      </c>
      <c r="F129" s="438" t="s">
        <v>683</v>
      </c>
      <c r="G129" s="89">
        <v>608.69000000000005</v>
      </c>
      <c r="H129" s="89">
        <v>706.08</v>
      </c>
      <c r="I129" s="440" t="s">
        <v>797</v>
      </c>
      <c r="J129" s="441"/>
      <c r="K129" s="441"/>
      <c r="L129" s="441"/>
      <c r="M129" s="440" t="s">
        <v>797</v>
      </c>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511" t="s">
        <v>797</v>
      </c>
      <c r="AS129" s="441"/>
      <c r="AT129" s="441"/>
      <c r="AU129" s="441"/>
      <c r="AV129" s="511" t="s">
        <v>797</v>
      </c>
      <c r="AW129" s="441"/>
      <c r="AX129" s="441"/>
      <c r="AY129" s="441" t="s">
        <v>797</v>
      </c>
      <c r="AZ129" s="442"/>
    </row>
    <row r="130" spans="1:52" ht="14.25">
      <c r="A130" s="572" t="str">
        <f t="shared" si="2"/>
        <v>Infinitum Negocio PremiumNo Residencial</v>
      </c>
      <c r="B130" s="437">
        <f t="shared" si="3"/>
        <v>34</v>
      </c>
      <c r="C130" s="255" t="s">
        <v>202</v>
      </c>
      <c r="D130" s="438" t="s">
        <v>359</v>
      </c>
      <c r="E130" s="438" t="s">
        <v>798</v>
      </c>
      <c r="F130" s="438" t="s">
        <v>683</v>
      </c>
      <c r="G130" s="89">
        <v>1042.5999999999999</v>
      </c>
      <c r="H130" s="89">
        <v>1209.42</v>
      </c>
      <c r="I130" s="440" t="s">
        <v>797</v>
      </c>
      <c r="J130" s="441"/>
      <c r="K130" s="441"/>
      <c r="L130" s="441"/>
      <c r="M130" s="440" t="s">
        <v>797</v>
      </c>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511" t="s">
        <v>797</v>
      </c>
      <c r="AS130" s="441"/>
      <c r="AT130" s="441"/>
      <c r="AU130" s="441"/>
      <c r="AV130" s="511" t="s">
        <v>797</v>
      </c>
      <c r="AW130" s="441"/>
      <c r="AX130" s="441"/>
      <c r="AY130" s="441" t="s">
        <v>797</v>
      </c>
      <c r="AZ130" s="442"/>
    </row>
    <row r="131" spans="1:52" ht="14.25">
      <c r="B131" s="437">
        <f t="shared" si="3"/>
        <v>35</v>
      </c>
      <c r="C131" s="255" t="s">
        <v>518</v>
      </c>
      <c r="D131" s="438" t="s">
        <v>359</v>
      </c>
      <c r="E131" s="438" t="s">
        <v>796</v>
      </c>
      <c r="F131" s="438" t="s">
        <v>683</v>
      </c>
      <c r="G131" s="89">
        <v>509.31</v>
      </c>
      <c r="H131" s="89">
        <v>599</v>
      </c>
      <c r="I131" s="440" t="s">
        <v>797</v>
      </c>
      <c r="J131" s="441"/>
      <c r="K131" s="441"/>
      <c r="L131" s="441"/>
      <c r="M131" s="440" t="s">
        <v>797</v>
      </c>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511" t="s">
        <v>797</v>
      </c>
      <c r="AS131" s="441"/>
      <c r="AT131" s="441"/>
      <c r="AU131" s="441" t="s">
        <v>797</v>
      </c>
      <c r="AV131" s="511" t="s">
        <v>797</v>
      </c>
      <c r="AW131" s="441" t="s">
        <v>797</v>
      </c>
      <c r="AX131" s="441" t="s">
        <v>797</v>
      </c>
      <c r="AY131" s="441" t="s">
        <v>797</v>
      </c>
      <c r="AZ131" s="442"/>
    </row>
    <row r="132" spans="1:52" ht="14.25">
      <c r="B132" s="437">
        <f t="shared" si="3"/>
        <v>36</v>
      </c>
      <c r="C132" s="255" t="s">
        <v>521</v>
      </c>
      <c r="D132" s="438" t="s">
        <v>359</v>
      </c>
      <c r="E132" s="438" t="s">
        <v>796</v>
      </c>
      <c r="F132" s="438" t="s">
        <v>683</v>
      </c>
      <c r="G132" s="89">
        <v>679.07</v>
      </c>
      <c r="H132" s="89">
        <v>799</v>
      </c>
      <c r="I132" s="440" t="s">
        <v>797</v>
      </c>
      <c r="J132" s="441"/>
      <c r="K132" s="441"/>
      <c r="L132" s="441"/>
      <c r="M132" s="440" t="s">
        <v>797</v>
      </c>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511" t="s">
        <v>797</v>
      </c>
      <c r="AS132" s="441"/>
      <c r="AT132" s="441"/>
      <c r="AU132" s="441" t="s">
        <v>797</v>
      </c>
      <c r="AV132" s="511" t="s">
        <v>797</v>
      </c>
      <c r="AW132" s="441" t="s">
        <v>797</v>
      </c>
      <c r="AX132" s="441" t="s">
        <v>797</v>
      </c>
      <c r="AY132" s="441" t="s">
        <v>797</v>
      </c>
      <c r="AZ132" s="442"/>
    </row>
    <row r="133" spans="1:52" ht="14.25">
      <c r="B133" s="437">
        <f t="shared" si="3"/>
        <v>37</v>
      </c>
      <c r="C133" s="255" t="s">
        <v>744</v>
      </c>
      <c r="D133" s="438" t="s">
        <v>359</v>
      </c>
      <c r="E133" s="438" t="s">
        <v>796</v>
      </c>
      <c r="F133" s="438" t="s">
        <v>683</v>
      </c>
      <c r="G133" s="89">
        <v>933.26</v>
      </c>
      <c r="H133" s="89">
        <v>1098.9992</v>
      </c>
      <c r="I133" s="440" t="s">
        <v>797</v>
      </c>
      <c r="J133" s="441"/>
      <c r="K133" s="441"/>
      <c r="L133" s="441"/>
      <c r="M133" s="440" t="s">
        <v>797</v>
      </c>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511" t="s">
        <v>797</v>
      </c>
      <c r="AS133" s="441"/>
      <c r="AT133" s="441"/>
      <c r="AU133" s="441" t="s">
        <v>797</v>
      </c>
      <c r="AV133" s="511" t="s">
        <v>797</v>
      </c>
      <c r="AW133" s="441" t="s">
        <v>797</v>
      </c>
      <c r="AX133" s="441" t="s">
        <v>797</v>
      </c>
      <c r="AY133" s="441" t="s">
        <v>797</v>
      </c>
      <c r="AZ133" s="442"/>
    </row>
    <row r="134" spans="1:52" ht="14.25">
      <c r="B134" s="437">
        <f t="shared" si="3"/>
        <v>38</v>
      </c>
      <c r="C134" s="255" t="s">
        <v>502</v>
      </c>
      <c r="D134" s="438" t="s">
        <v>359</v>
      </c>
      <c r="E134" s="438" t="s">
        <v>796</v>
      </c>
      <c r="F134" s="438" t="s">
        <v>683</v>
      </c>
      <c r="G134" s="89">
        <v>1610.49</v>
      </c>
      <c r="H134" s="89">
        <v>1899.0028</v>
      </c>
      <c r="I134" s="440" t="s">
        <v>797</v>
      </c>
      <c r="J134" s="441"/>
      <c r="K134" s="441"/>
      <c r="L134" s="441"/>
      <c r="M134" s="440" t="s">
        <v>797</v>
      </c>
      <c r="N134" s="441"/>
      <c r="O134" s="441"/>
      <c r="P134" s="441"/>
      <c r="Q134" s="441"/>
      <c r="R134" s="441"/>
      <c r="S134" s="441"/>
      <c r="T134" s="441"/>
      <c r="U134" s="441"/>
      <c r="V134" s="441"/>
      <c r="W134" s="441"/>
      <c r="X134" s="441"/>
      <c r="Y134" s="441"/>
      <c r="Z134" s="441"/>
      <c r="AA134" s="441"/>
      <c r="AB134" s="441"/>
      <c r="AC134" s="441"/>
      <c r="AD134" s="441"/>
      <c r="AE134" s="441"/>
      <c r="AF134" s="441"/>
      <c r="AG134" s="441"/>
      <c r="AH134" s="441"/>
      <c r="AI134" s="441"/>
      <c r="AJ134" s="441"/>
      <c r="AK134" s="441"/>
      <c r="AL134" s="441"/>
      <c r="AM134" s="441"/>
      <c r="AN134" s="441"/>
      <c r="AO134" s="441"/>
      <c r="AP134" s="441"/>
      <c r="AQ134" s="441"/>
      <c r="AR134" s="511" t="s">
        <v>797</v>
      </c>
      <c r="AS134" s="441"/>
      <c r="AT134" s="441"/>
      <c r="AU134" s="441" t="s">
        <v>797</v>
      </c>
      <c r="AV134" s="511" t="s">
        <v>797</v>
      </c>
      <c r="AW134" s="441" t="s">
        <v>797</v>
      </c>
      <c r="AX134" s="441" t="s">
        <v>797</v>
      </c>
      <c r="AY134" s="441" t="s">
        <v>797</v>
      </c>
      <c r="AZ134" s="442"/>
    </row>
    <row r="135" spans="1:52" ht="14.25">
      <c r="B135" s="437">
        <f t="shared" si="3"/>
        <v>39</v>
      </c>
      <c r="C135" s="255" t="s">
        <v>504</v>
      </c>
      <c r="D135" s="438" t="s">
        <v>359</v>
      </c>
      <c r="E135" s="438" t="s">
        <v>796</v>
      </c>
      <c r="F135" s="438" t="s">
        <v>683</v>
      </c>
      <c r="G135" s="89">
        <v>1898.45</v>
      </c>
      <c r="H135" s="89">
        <v>2238.9987999999998</v>
      </c>
      <c r="I135" s="440" t="s">
        <v>797</v>
      </c>
      <c r="J135" s="441"/>
      <c r="K135" s="441"/>
      <c r="L135" s="441"/>
      <c r="M135" s="440" t="s">
        <v>797</v>
      </c>
      <c r="N135" s="441"/>
      <c r="O135" s="441"/>
      <c r="P135" s="441"/>
      <c r="Q135" s="441"/>
      <c r="R135" s="441"/>
      <c r="S135" s="441"/>
      <c r="T135" s="441"/>
      <c r="U135" s="441"/>
      <c r="V135" s="441"/>
      <c r="W135" s="441"/>
      <c r="X135" s="441"/>
      <c r="Y135" s="441"/>
      <c r="Z135" s="441"/>
      <c r="AA135" s="441"/>
      <c r="AB135" s="441"/>
      <c r="AC135" s="441"/>
      <c r="AD135" s="441"/>
      <c r="AE135" s="441"/>
      <c r="AF135" s="441"/>
      <c r="AG135" s="441"/>
      <c r="AH135" s="441"/>
      <c r="AI135" s="441"/>
      <c r="AJ135" s="441"/>
      <c r="AK135" s="441"/>
      <c r="AL135" s="441"/>
      <c r="AM135" s="441"/>
      <c r="AN135" s="441"/>
      <c r="AO135" s="441"/>
      <c r="AP135" s="441"/>
      <c r="AQ135" s="441"/>
      <c r="AR135" s="511" t="s">
        <v>797</v>
      </c>
      <c r="AS135" s="441"/>
      <c r="AT135" s="441"/>
      <c r="AU135" s="441" t="s">
        <v>797</v>
      </c>
      <c r="AV135" s="511" t="s">
        <v>797</v>
      </c>
      <c r="AW135" s="441" t="s">
        <v>797</v>
      </c>
      <c r="AX135" s="441" t="s">
        <v>797</v>
      </c>
      <c r="AY135" s="441" t="s">
        <v>797</v>
      </c>
      <c r="AZ135" s="442"/>
    </row>
    <row r="136" spans="1:52" ht="14.25">
      <c r="B136" s="437">
        <f t="shared" si="3"/>
        <v>40</v>
      </c>
      <c r="C136" s="255" t="s">
        <v>506</v>
      </c>
      <c r="D136" s="438" t="s">
        <v>359</v>
      </c>
      <c r="E136" s="438" t="s">
        <v>796</v>
      </c>
      <c r="F136" s="438" t="s">
        <v>683</v>
      </c>
      <c r="G136" s="89">
        <v>2363.7200000000003</v>
      </c>
      <c r="H136" s="89">
        <v>2789.0047999999997</v>
      </c>
      <c r="I136" s="440" t="s">
        <v>797</v>
      </c>
      <c r="J136" s="441"/>
      <c r="K136" s="441"/>
      <c r="L136" s="441"/>
      <c r="M136" s="440" t="s">
        <v>797</v>
      </c>
      <c r="N136" s="441"/>
      <c r="O136" s="441"/>
      <c r="P136" s="441"/>
      <c r="Q136" s="441"/>
      <c r="R136" s="441"/>
      <c r="S136" s="441"/>
      <c r="T136" s="441"/>
      <c r="U136" s="441"/>
      <c r="V136" s="441"/>
      <c r="W136" s="441"/>
      <c r="X136" s="441"/>
      <c r="Y136" s="441"/>
      <c r="Z136" s="441"/>
      <c r="AA136" s="441"/>
      <c r="AB136" s="441"/>
      <c r="AC136" s="441"/>
      <c r="AD136" s="441"/>
      <c r="AE136" s="441"/>
      <c r="AF136" s="441"/>
      <c r="AG136" s="441"/>
      <c r="AH136" s="441"/>
      <c r="AI136" s="441"/>
      <c r="AJ136" s="441"/>
      <c r="AK136" s="441"/>
      <c r="AL136" s="441"/>
      <c r="AM136" s="441"/>
      <c r="AN136" s="441"/>
      <c r="AO136" s="441"/>
      <c r="AP136" s="441"/>
      <c r="AQ136" s="441"/>
      <c r="AR136" s="511" t="s">
        <v>797</v>
      </c>
      <c r="AS136" s="441"/>
      <c r="AT136" s="441"/>
      <c r="AU136" s="441" t="s">
        <v>797</v>
      </c>
      <c r="AV136" s="511" t="s">
        <v>797</v>
      </c>
      <c r="AW136" s="441" t="s">
        <v>797</v>
      </c>
      <c r="AX136" s="441" t="s">
        <v>797</v>
      </c>
      <c r="AY136" s="441" t="s">
        <v>797</v>
      </c>
      <c r="AZ136" s="442"/>
    </row>
    <row r="137" spans="1:52" ht="14.25" hidden="1" outlineLevel="1">
      <c r="B137" s="437">
        <f t="shared" si="3"/>
        <v>41</v>
      </c>
      <c r="C137" s="255"/>
      <c r="D137" s="438"/>
      <c r="E137" s="438"/>
      <c r="F137" s="438"/>
      <c r="G137" s="89"/>
      <c r="H137" s="89"/>
      <c r="I137" s="440" t="s">
        <v>797</v>
      </c>
      <c r="J137" s="441"/>
      <c r="K137" s="441"/>
      <c r="L137" s="441"/>
      <c r="M137" s="440" t="s">
        <v>797</v>
      </c>
      <c r="N137" s="441"/>
      <c r="O137" s="441"/>
      <c r="P137" s="441"/>
      <c r="Q137" s="441"/>
      <c r="R137" s="441"/>
      <c r="S137" s="441"/>
      <c r="T137" s="441"/>
      <c r="U137" s="441"/>
      <c r="V137" s="441"/>
      <c r="W137" s="441"/>
      <c r="X137" s="441"/>
      <c r="Y137" s="441"/>
      <c r="Z137" s="441"/>
      <c r="AA137" s="441"/>
      <c r="AB137" s="441"/>
      <c r="AC137" s="441"/>
      <c r="AD137" s="441"/>
      <c r="AE137" s="441"/>
      <c r="AF137" s="441"/>
      <c r="AG137" s="441"/>
      <c r="AH137" s="441"/>
      <c r="AI137" s="441"/>
      <c r="AJ137" s="441"/>
      <c r="AK137" s="441"/>
      <c r="AL137" s="441"/>
      <c r="AM137" s="441"/>
      <c r="AN137" s="441"/>
      <c r="AO137" s="441"/>
      <c r="AP137" s="441"/>
      <c r="AQ137" s="441"/>
      <c r="AR137" s="511" t="s">
        <v>797</v>
      </c>
      <c r="AS137" s="441"/>
      <c r="AT137" s="441"/>
      <c r="AU137" s="441"/>
      <c r="AV137" s="511" t="s">
        <v>797</v>
      </c>
      <c r="AW137" s="441"/>
      <c r="AX137" s="441"/>
      <c r="AY137" s="441"/>
      <c r="AZ137" s="442"/>
    </row>
    <row r="138" spans="1:52" ht="14.25" hidden="1" outlineLevel="1">
      <c r="B138" s="437">
        <f t="shared" si="3"/>
        <v>42</v>
      </c>
      <c r="C138" s="255"/>
      <c r="D138" s="438"/>
      <c r="E138" s="438"/>
      <c r="F138" s="438"/>
      <c r="G138" s="89"/>
      <c r="H138" s="89"/>
      <c r="I138" s="440" t="s">
        <v>797</v>
      </c>
      <c r="J138" s="441"/>
      <c r="K138" s="441"/>
      <c r="L138" s="441"/>
      <c r="M138" s="440" t="s">
        <v>797</v>
      </c>
      <c r="N138" s="441"/>
      <c r="O138" s="441"/>
      <c r="P138" s="441"/>
      <c r="Q138" s="441"/>
      <c r="R138" s="441"/>
      <c r="S138" s="441"/>
      <c r="T138" s="441"/>
      <c r="U138" s="441"/>
      <c r="V138" s="441"/>
      <c r="W138" s="441"/>
      <c r="X138" s="441"/>
      <c r="Y138" s="441"/>
      <c r="Z138" s="441"/>
      <c r="AA138" s="441"/>
      <c r="AB138" s="441"/>
      <c r="AC138" s="441"/>
      <c r="AD138" s="441"/>
      <c r="AE138" s="441"/>
      <c r="AF138" s="441"/>
      <c r="AG138" s="441"/>
      <c r="AH138" s="441"/>
      <c r="AI138" s="441"/>
      <c r="AJ138" s="441"/>
      <c r="AK138" s="441"/>
      <c r="AL138" s="441"/>
      <c r="AM138" s="441"/>
      <c r="AN138" s="441"/>
      <c r="AO138" s="441"/>
      <c r="AP138" s="441"/>
      <c r="AQ138" s="441"/>
      <c r="AR138" s="511" t="s">
        <v>797</v>
      </c>
      <c r="AS138" s="441"/>
      <c r="AT138" s="441"/>
      <c r="AU138" s="441"/>
      <c r="AV138" s="511" t="s">
        <v>797</v>
      </c>
      <c r="AW138" s="441"/>
      <c r="AX138" s="441"/>
      <c r="AY138" s="441"/>
      <c r="AZ138" s="442"/>
    </row>
    <row r="139" spans="1:52" ht="14.25" hidden="1" outlineLevel="1">
      <c r="B139" s="437">
        <f t="shared" si="3"/>
        <v>43</v>
      </c>
      <c r="C139" s="255"/>
      <c r="D139" s="438"/>
      <c r="E139" s="438"/>
      <c r="F139" s="438"/>
      <c r="G139" s="89"/>
      <c r="H139" s="89"/>
      <c r="I139" s="440" t="s">
        <v>797</v>
      </c>
      <c r="J139" s="441"/>
      <c r="K139" s="441"/>
      <c r="L139" s="441"/>
      <c r="M139" s="440" t="s">
        <v>797</v>
      </c>
      <c r="N139" s="441"/>
      <c r="O139" s="441"/>
      <c r="P139" s="441"/>
      <c r="Q139" s="441"/>
      <c r="R139" s="441"/>
      <c r="S139" s="441"/>
      <c r="T139" s="441"/>
      <c r="U139" s="441"/>
      <c r="V139" s="441"/>
      <c r="W139" s="441"/>
      <c r="X139" s="441"/>
      <c r="Y139" s="441"/>
      <c r="Z139" s="441"/>
      <c r="AA139" s="441"/>
      <c r="AB139" s="441"/>
      <c r="AC139" s="441"/>
      <c r="AD139" s="441"/>
      <c r="AE139" s="441"/>
      <c r="AF139" s="441"/>
      <c r="AG139" s="441"/>
      <c r="AH139" s="441"/>
      <c r="AI139" s="441"/>
      <c r="AJ139" s="441"/>
      <c r="AK139" s="441"/>
      <c r="AL139" s="441"/>
      <c r="AM139" s="441"/>
      <c r="AN139" s="441"/>
      <c r="AO139" s="441"/>
      <c r="AP139" s="441"/>
      <c r="AQ139" s="441"/>
      <c r="AR139" s="511" t="s">
        <v>797</v>
      </c>
      <c r="AS139" s="441"/>
      <c r="AT139" s="441"/>
      <c r="AU139" s="441"/>
      <c r="AV139" s="511" t="s">
        <v>797</v>
      </c>
      <c r="AW139" s="441"/>
      <c r="AX139" s="441"/>
      <c r="AY139" s="441"/>
      <c r="AZ139" s="442"/>
    </row>
    <row r="140" spans="1:52" ht="14.25" hidden="1" outlineLevel="1">
      <c r="B140" s="437">
        <f t="shared" si="3"/>
        <v>44</v>
      </c>
      <c r="C140" s="255"/>
      <c r="D140" s="438"/>
      <c r="E140" s="438"/>
      <c r="F140" s="438"/>
      <c r="G140" s="89"/>
      <c r="H140" s="89"/>
      <c r="I140" s="440" t="s">
        <v>797</v>
      </c>
      <c r="J140" s="441"/>
      <c r="K140" s="441"/>
      <c r="L140" s="441"/>
      <c r="M140" s="440" t="s">
        <v>797</v>
      </c>
      <c r="N140" s="441"/>
      <c r="O140" s="441"/>
      <c r="P140" s="441"/>
      <c r="Q140" s="441"/>
      <c r="R140" s="441"/>
      <c r="S140" s="441"/>
      <c r="T140" s="441"/>
      <c r="U140" s="441"/>
      <c r="V140" s="441"/>
      <c r="W140" s="441"/>
      <c r="X140" s="441"/>
      <c r="Y140" s="441"/>
      <c r="Z140" s="441"/>
      <c r="AA140" s="441"/>
      <c r="AB140" s="441"/>
      <c r="AC140" s="441"/>
      <c r="AD140" s="441"/>
      <c r="AE140" s="441"/>
      <c r="AF140" s="441"/>
      <c r="AG140" s="441"/>
      <c r="AH140" s="441"/>
      <c r="AI140" s="441"/>
      <c r="AJ140" s="441"/>
      <c r="AK140" s="441"/>
      <c r="AL140" s="441"/>
      <c r="AM140" s="441"/>
      <c r="AN140" s="441"/>
      <c r="AO140" s="441"/>
      <c r="AP140" s="441"/>
      <c r="AQ140" s="441"/>
      <c r="AR140" s="511" t="s">
        <v>797</v>
      </c>
      <c r="AS140" s="441"/>
      <c r="AT140" s="441"/>
      <c r="AU140" s="441"/>
      <c r="AV140" s="511" t="s">
        <v>797</v>
      </c>
      <c r="AW140" s="441"/>
      <c r="AX140" s="441"/>
      <c r="AY140" s="441"/>
      <c r="AZ140" s="442"/>
    </row>
    <row r="141" spans="1:52" ht="14.25" hidden="1" outlineLevel="1">
      <c r="B141" s="437">
        <f t="shared" si="3"/>
        <v>45</v>
      </c>
      <c r="C141" s="255"/>
      <c r="D141" s="438"/>
      <c r="E141" s="438"/>
      <c r="F141" s="438"/>
      <c r="G141" s="89"/>
      <c r="H141" s="89"/>
      <c r="I141" s="440" t="s">
        <v>797</v>
      </c>
      <c r="J141" s="441"/>
      <c r="K141" s="441"/>
      <c r="L141" s="441"/>
      <c r="M141" s="440" t="s">
        <v>797</v>
      </c>
      <c r="N141" s="441"/>
      <c r="O141" s="441"/>
      <c r="P141" s="441"/>
      <c r="Q141" s="441"/>
      <c r="R141" s="441"/>
      <c r="S141" s="441"/>
      <c r="T141" s="441"/>
      <c r="U141" s="441"/>
      <c r="V141" s="441"/>
      <c r="W141" s="441"/>
      <c r="X141" s="441"/>
      <c r="Y141" s="441"/>
      <c r="Z141" s="441"/>
      <c r="AA141" s="441"/>
      <c r="AB141" s="441"/>
      <c r="AC141" s="441"/>
      <c r="AD141" s="441"/>
      <c r="AE141" s="441"/>
      <c r="AF141" s="441"/>
      <c r="AG141" s="441"/>
      <c r="AH141" s="441"/>
      <c r="AI141" s="441"/>
      <c r="AJ141" s="441"/>
      <c r="AK141" s="441"/>
      <c r="AL141" s="441"/>
      <c r="AM141" s="441"/>
      <c r="AN141" s="441"/>
      <c r="AO141" s="441"/>
      <c r="AP141" s="441"/>
      <c r="AQ141" s="441"/>
      <c r="AR141" s="511" t="s">
        <v>797</v>
      </c>
      <c r="AS141" s="441"/>
      <c r="AT141" s="441"/>
      <c r="AU141" s="441"/>
      <c r="AV141" s="511" t="s">
        <v>797</v>
      </c>
      <c r="AW141" s="441"/>
      <c r="AX141" s="441"/>
      <c r="AY141" s="441"/>
      <c r="AZ141" s="442"/>
    </row>
    <row r="142" spans="1:52" ht="14.25" hidden="1" outlineLevel="1">
      <c r="B142" s="437">
        <f t="shared" si="3"/>
        <v>46</v>
      </c>
      <c r="C142" s="255"/>
      <c r="D142" s="438"/>
      <c r="E142" s="438"/>
      <c r="F142" s="438"/>
      <c r="G142" s="89"/>
      <c r="H142" s="89"/>
      <c r="I142" s="440" t="s">
        <v>797</v>
      </c>
      <c r="J142" s="441"/>
      <c r="K142" s="441"/>
      <c r="L142" s="441"/>
      <c r="M142" s="440" t="s">
        <v>797</v>
      </c>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441"/>
      <c r="AL142" s="441"/>
      <c r="AM142" s="441"/>
      <c r="AN142" s="441"/>
      <c r="AO142" s="441"/>
      <c r="AP142" s="441"/>
      <c r="AQ142" s="441"/>
      <c r="AR142" s="511" t="s">
        <v>797</v>
      </c>
      <c r="AS142" s="441"/>
      <c r="AT142" s="441"/>
      <c r="AU142" s="441"/>
      <c r="AV142" s="511" t="s">
        <v>797</v>
      </c>
      <c r="AW142" s="441"/>
      <c r="AX142" s="441"/>
      <c r="AY142" s="441"/>
      <c r="AZ142" s="442"/>
    </row>
    <row r="143" spans="1:52" ht="14.25" hidden="1" outlineLevel="1">
      <c r="B143" s="437">
        <f t="shared" si="3"/>
        <v>47</v>
      </c>
      <c r="C143" s="255"/>
      <c r="D143" s="438"/>
      <c r="E143" s="438"/>
      <c r="F143" s="438"/>
      <c r="G143" s="89"/>
      <c r="H143" s="89"/>
      <c r="I143" s="440" t="s">
        <v>797</v>
      </c>
      <c r="J143" s="441"/>
      <c r="K143" s="441"/>
      <c r="L143" s="441"/>
      <c r="M143" s="440" t="s">
        <v>797</v>
      </c>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441"/>
      <c r="AL143" s="441"/>
      <c r="AM143" s="441"/>
      <c r="AN143" s="441"/>
      <c r="AO143" s="441"/>
      <c r="AP143" s="441"/>
      <c r="AQ143" s="441"/>
      <c r="AR143" s="511" t="s">
        <v>797</v>
      </c>
      <c r="AS143" s="441"/>
      <c r="AT143" s="441"/>
      <c r="AU143" s="441"/>
      <c r="AV143" s="511" t="s">
        <v>797</v>
      </c>
      <c r="AW143" s="441"/>
      <c r="AX143" s="441"/>
      <c r="AY143" s="441"/>
      <c r="AZ143" s="442"/>
    </row>
    <row r="144" spans="1:52" ht="14.25" hidden="1" outlineLevel="1">
      <c r="B144" s="437">
        <f t="shared" si="3"/>
        <v>48</v>
      </c>
      <c r="C144" s="255"/>
      <c r="D144" s="438"/>
      <c r="E144" s="438"/>
      <c r="F144" s="438"/>
      <c r="G144" s="89"/>
      <c r="H144" s="89"/>
      <c r="I144" s="440" t="s">
        <v>797</v>
      </c>
      <c r="J144" s="441"/>
      <c r="K144" s="441"/>
      <c r="L144" s="441"/>
      <c r="M144" s="440" t="s">
        <v>797</v>
      </c>
      <c r="N144" s="441"/>
      <c r="O144" s="441"/>
      <c r="P144" s="441"/>
      <c r="Q144" s="441"/>
      <c r="R144" s="441"/>
      <c r="S144" s="441"/>
      <c r="T144" s="441"/>
      <c r="U144" s="441"/>
      <c r="V144" s="441"/>
      <c r="W144" s="441"/>
      <c r="X144" s="441"/>
      <c r="Y144" s="441"/>
      <c r="Z144" s="441"/>
      <c r="AA144" s="441"/>
      <c r="AB144" s="441"/>
      <c r="AC144" s="441"/>
      <c r="AD144" s="441"/>
      <c r="AE144" s="441"/>
      <c r="AF144" s="441"/>
      <c r="AG144" s="441"/>
      <c r="AH144" s="441"/>
      <c r="AI144" s="441"/>
      <c r="AJ144" s="441"/>
      <c r="AK144" s="441"/>
      <c r="AL144" s="441"/>
      <c r="AM144" s="441"/>
      <c r="AN144" s="441"/>
      <c r="AO144" s="441"/>
      <c r="AP144" s="441"/>
      <c r="AQ144" s="441"/>
      <c r="AR144" s="511" t="s">
        <v>797</v>
      </c>
      <c r="AS144" s="441"/>
      <c r="AT144" s="441"/>
      <c r="AU144" s="441"/>
      <c r="AV144" s="511" t="s">
        <v>797</v>
      </c>
      <c r="AW144" s="441"/>
      <c r="AX144" s="441"/>
      <c r="AY144" s="441"/>
      <c r="AZ144" s="442"/>
    </row>
    <row r="145" spans="2:52" ht="14.25" hidden="1" outlineLevel="1">
      <c r="B145" s="437">
        <f t="shared" si="3"/>
        <v>49</v>
      </c>
      <c r="C145" s="255"/>
      <c r="D145" s="438"/>
      <c r="E145" s="438"/>
      <c r="F145" s="438"/>
      <c r="G145" s="89"/>
      <c r="H145" s="89"/>
      <c r="I145" s="440" t="s">
        <v>797</v>
      </c>
      <c r="J145" s="441"/>
      <c r="K145" s="441"/>
      <c r="L145" s="441"/>
      <c r="M145" s="440" t="s">
        <v>797</v>
      </c>
      <c r="N145" s="441"/>
      <c r="O145" s="441"/>
      <c r="P145" s="441"/>
      <c r="Q145" s="441"/>
      <c r="R145" s="441"/>
      <c r="S145" s="441"/>
      <c r="T145" s="441"/>
      <c r="U145" s="441"/>
      <c r="V145" s="441"/>
      <c r="W145" s="441"/>
      <c r="X145" s="441"/>
      <c r="Y145" s="441"/>
      <c r="Z145" s="441"/>
      <c r="AA145" s="441"/>
      <c r="AB145" s="441"/>
      <c r="AC145" s="441"/>
      <c r="AD145" s="441"/>
      <c r="AE145" s="441"/>
      <c r="AF145" s="441"/>
      <c r="AG145" s="441"/>
      <c r="AH145" s="441"/>
      <c r="AI145" s="441"/>
      <c r="AJ145" s="441"/>
      <c r="AK145" s="441"/>
      <c r="AL145" s="441"/>
      <c r="AM145" s="441"/>
      <c r="AN145" s="441"/>
      <c r="AO145" s="441"/>
      <c r="AP145" s="441"/>
      <c r="AQ145" s="441"/>
      <c r="AR145" s="511" t="s">
        <v>797</v>
      </c>
      <c r="AS145" s="441"/>
      <c r="AT145" s="441"/>
      <c r="AU145" s="441"/>
      <c r="AV145" s="511" t="s">
        <v>797</v>
      </c>
      <c r="AW145" s="441"/>
      <c r="AX145" s="441"/>
      <c r="AY145" s="441"/>
      <c r="AZ145" s="442"/>
    </row>
    <row r="146" spans="2:52" ht="14.25" hidden="1" outlineLevel="1">
      <c r="B146" s="437">
        <f t="shared" si="3"/>
        <v>50</v>
      </c>
      <c r="C146" s="255"/>
      <c r="D146" s="438"/>
      <c r="E146" s="438"/>
      <c r="F146" s="438"/>
      <c r="G146" s="89"/>
      <c r="H146" s="89"/>
      <c r="I146" s="440" t="s">
        <v>797</v>
      </c>
      <c r="J146" s="441"/>
      <c r="K146" s="441"/>
      <c r="L146" s="441"/>
      <c r="M146" s="440" t="s">
        <v>797</v>
      </c>
      <c r="N146" s="441"/>
      <c r="O146" s="441"/>
      <c r="P146" s="441"/>
      <c r="Q146" s="441"/>
      <c r="R146" s="441"/>
      <c r="S146" s="441"/>
      <c r="T146" s="441"/>
      <c r="U146" s="441"/>
      <c r="V146" s="441"/>
      <c r="W146" s="441"/>
      <c r="X146" s="441"/>
      <c r="Y146" s="441"/>
      <c r="Z146" s="441"/>
      <c r="AA146" s="441"/>
      <c r="AB146" s="441"/>
      <c r="AC146" s="441"/>
      <c r="AD146" s="441"/>
      <c r="AE146" s="441"/>
      <c r="AF146" s="441"/>
      <c r="AG146" s="441"/>
      <c r="AH146" s="441"/>
      <c r="AI146" s="441"/>
      <c r="AJ146" s="441"/>
      <c r="AK146" s="441"/>
      <c r="AL146" s="441"/>
      <c r="AM146" s="441"/>
      <c r="AN146" s="441"/>
      <c r="AO146" s="441"/>
      <c r="AP146" s="441"/>
      <c r="AQ146" s="441"/>
      <c r="AR146" s="511" t="s">
        <v>797</v>
      </c>
      <c r="AS146" s="441"/>
      <c r="AT146" s="441"/>
      <c r="AU146" s="441"/>
      <c r="AV146" s="511" t="s">
        <v>797</v>
      </c>
      <c r="AW146" s="441"/>
      <c r="AX146" s="441"/>
      <c r="AY146" s="441"/>
      <c r="AZ146" s="442"/>
    </row>
    <row r="147" spans="2:52" ht="14.25" hidden="1" outlineLevel="1">
      <c r="B147" s="437">
        <f t="shared" si="3"/>
        <v>51</v>
      </c>
      <c r="C147" s="255"/>
      <c r="D147" s="438"/>
      <c r="E147" s="438"/>
      <c r="F147" s="438"/>
      <c r="G147" s="89"/>
      <c r="H147" s="89"/>
      <c r="I147" s="440" t="s">
        <v>797</v>
      </c>
      <c r="J147" s="441"/>
      <c r="K147" s="441"/>
      <c r="L147" s="441"/>
      <c r="M147" s="440" t="s">
        <v>797</v>
      </c>
      <c r="N147" s="441"/>
      <c r="O147" s="441"/>
      <c r="P147" s="441"/>
      <c r="Q147" s="441"/>
      <c r="R147" s="441"/>
      <c r="S147" s="441"/>
      <c r="T147" s="441"/>
      <c r="U147" s="441"/>
      <c r="V147" s="441"/>
      <c r="W147" s="441"/>
      <c r="X147" s="441"/>
      <c r="Y147" s="441"/>
      <c r="Z147" s="441"/>
      <c r="AA147" s="441"/>
      <c r="AB147" s="441"/>
      <c r="AC147" s="441"/>
      <c r="AD147" s="441"/>
      <c r="AE147" s="441"/>
      <c r="AF147" s="441"/>
      <c r="AG147" s="441"/>
      <c r="AH147" s="441"/>
      <c r="AI147" s="441"/>
      <c r="AJ147" s="441"/>
      <c r="AK147" s="441"/>
      <c r="AL147" s="441"/>
      <c r="AM147" s="441"/>
      <c r="AN147" s="441"/>
      <c r="AO147" s="441"/>
      <c r="AP147" s="441"/>
      <c r="AQ147" s="441"/>
      <c r="AR147" s="511" t="s">
        <v>797</v>
      </c>
      <c r="AS147" s="441"/>
      <c r="AT147" s="441"/>
      <c r="AU147" s="441"/>
      <c r="AV147" s="511" t="s">
        <v>797</v>
      </c>
      <c r="AW147" s="441"/>
      <c r="AX147" s="441"/>
      <c r="AY147" s="441"/>
      <c r="AZ147" s="442"/>
    </row>
    <row r="148" spans="2:52" ht="14.25" hidden="1" outlineLevel="1">
      <c r="B148" s="437">
        <f t="shared" si="3"/>
        <v>52</v>
      </c>
      <c r="C148" s="255"/>
      <c r="D148" s="438"/>
      <c r="E148" s="438"/>
      <c r="F148" s="438"/>
      <c r="G148" s="89"/>
      <c r="H148" s="89"/>
      <c r="I148" s="440" t="s">
        <v>797</v>
      </c>
      <c r="J148" s="441"/>
      <c r="K148" s="441"/>
      <c r="L148" s="441"/>
      <c r="M148" s="440" t="s">
        <v>797</v>
      </c>
      <c r="N148" s="441"/>
      <c r="O148" s="441"/>
      <c r="P148" s="441"/>
      <c r="Q148" s="441"/>
      <c r="R148" s="441"/>
      <c r="S148" s="441"/>
      <c r="T148" s="441"/>
      <c r="U148" s="441"/>
      <c r="V148" s="441"/>
      <c r="W148" s="441"/>
      <c r="X148" s="441"/>
      <c r="Y148" s="441"/>
      <c r="Z148" s="441"/>
      <c r="AA148" s="441"/>
      <c r="AB148" s="441"/>
      <c r="AC148" s="441"/>
      <c r="AD148" s="441"/>
      <c r="AE148" s="441"/>
      <c r="AF148" s="441"/>
      <c r="AG148" s="441"/>
      <c r="AH148" s="441"/>
      <c r="AI148" s="441"/>
      <c r="AJ148" s="441"/>
      <c r="AK148" s="441"/>
      <c r="AL148" s="441"/>
      <c r="AM148" s="441"/>
      <c r="AN148" s="441"/>
      <c r="AO148" s="441"/>
      <c r="AP148" s="441"/>
      <c r="AQ148" s="441"/>
      <c r="AR148" s="511" t="s">
        <v>797</v>
      </c>
      <c r="AS148" s="441"/>
      <c r="AT148" s="441"/>
      <c r="AU148" s="441"/>
      <c r="AV148" s="511" t="s">
        <v>797</v>
      </c>
      <c r="AW148" s="441"/>
      <c r="AX148" s="441"/>
      <c r="AY148" s="441"/>
      <c r="AZ148" s="442"/>
    </row>
    <row r="149" spans="2:52" ht="14.25" hidden="1" outlineLevel="1">
      <c r="B149" s="437">
        <f t="shared" si="3"/>
        <v>53</v>
      </c>
      <c r="C149" s="255"/>
      <c r="D149" s="438"/>
      <c r="E149" s="438"/>
      <c r="F149" s="438"/>
      <c r="G149" s="89"/>
      <c r="H149" s="89"/>
      <c r="I149" s="440" t="s">
        <v>797</v>
      </c>
      <c r="J149" s="441"/>
      <c r="K149" s="441"/>
      <c r="L149" s="441"/>
      <c r="M149" s="440" t="s">
        <v>797</v>
      </c>
      <c r="N149" s="441"/>
      <c r="O149" s="441"/>
      <c r="P149" s="441"/>
      <c r="Q149" s="441"/>
      <c r="R149" s="441"/>
      <c r="S149" s="441"/>
      <c r="T149" s="441"/>
      <c r="U149" s="441"/>
      <c r="V149" s="441"/>
      <c r="W149" s="441"/>
      <c r="X149" s="441"/>
      <c r="Y149" s="441"/>
      <c r="Z149" s="441"/>
      <c r="AA149" s="441"/>
      <c r="AB149" s="441"/>
      <c r="AC149" s="441"/>
      <c r="AD149" s="441"/>
      <c r="AE149" s="441"/>
      <c r="AF149" s="441"/>
      <c r="AG149" s="441"/>
      <c r="AH149" s="441"/>
      <c r="AI149" s="441"/>
      <c r="AJ149" s="441"/>
      <c r="AK149" s="441"/>
      <c r="AL149" s="441"/>
      <c r="AM149" s="441"/>
      <c r="AN149" s="441"/>
      <c r="AO149" s="441"/>
      <c r="AP149" s="441"/>
      <c r="AQ149" s="441"/>
      <c r="AR149" s="511" t="s">
        <v>797</v>
      </c>
      <c r="AS149" s="441"/>
      <c r="AT149" s="441"/>
      <c r="AU149" s="441"/>
      <c r="AV149" s="511" t="s">
        <v>797</v>
      </c>
      <c r="AW149" s="441"/>
      <c r="AX149" s="441"/>
      <c r="AY149" s="441"/>
      <c r="AZ149" s="442"/>
    </row>
    <row r="150" spans="2:52" ht="14.25" hidden="1" outlineLevel="1">
      <c r="B150" s="437">
        <f t="shared" si="3"/>
        <v>54</v>
      </c>
      <c r="C150" s="255"/>
      <c r="D150" s="438"/>
      <c r="E150" s="438"/>
      <c r="F150" s="438"/>
      <c r="G150" s="89"/>
      <c r="H150" s="89"/>
      <c r="I150" s="440" t="s">
        <v>797</v>
      </c>
      <c r="J150" s="441"/>
      <c r="K150" s="441"/>
      <c r="L150" s="441"/>
      <c r="M150" s="440" t="s">
        <v>797</v>
      </c>
      <c r="N150" s="441"/>
      <c r="O150" s="441"/>
      <c r="P150" s="441"/>
      <c r="Q150" s="441"/>
      <c r="R150" s="441"/>
      <c r="S150" s="441"/>
      <c r="T150" s="441"/>
      <c r="U150" s="441"/>
      <c r="V150" s="441"/>
      <c r="W150" s="441"/>
      <c r="X150" s="441"/>
      <c r="Y150" s="441"/>
      <c r="Z150" s="441"/>
      <c r="AA150" s="441"/>
      <c r="AB150" s="441"/>
      <c r="AC150" s="441"/>
      <c r="AD150" s="441"/>
      <c r="AE150" s="441"/>
      <c r="AF150" s="441"/>
      <c r="AG150" s="441"/>
      <c r="AH150" s="441"/>
      <c r="AI150" s="441"/>
      <c r="AJ150" s="441"/>
      <c r="AK150" s="441"/>
      <c r="AL150" s="441"/>
      <c r="AM150" s="441"/>
      <c r="AN150" s="441"/>
      <c r="AO150" s="441"/>
      <c r="AP150" s="441"/>
      <c r="AQ150" s="441"/>
      <c r="AR150" s="511" t="s">
        <v>797</v>
      </c>
      <c r="AS150" s="441"/>
      <c r="AT150" s="441"/>
      <c r="AU150" s="441"/>
      <c r="AV150" s="511" t="s">
        <v>797</v>
      </c>
      <c r="AW150" s="441"/>
      <c r="AX150" s="441"/>
      <c r="AY150" s="441"/>
      <c r="AZ150" s="442"/>
    </row>
    <row r="151" spans="2:52" ht="14.25" hidden="1" outlineLevel="1">
      <c r="B151" s="437">
        <f t="shared" si="3"/>
        <v>55</v>
      </c>
      <c r="C151" s="255"/>
      <c r="D151" s="438"/>
      <c r="E151" s="438"/>
      <c r="F151" s="438"/>
      <c r="G151" s="89"/>
      <c r="H151" s="89"/>
      <c r="I151" s="440" t="s">
        <v>797</v>
      </c>
      <c r="J151" s="441"/>
      <c r="K151" s="441"/>
      <c r="L151" s="441"/>
      <c r="M151" s="440" t="s">
        <v>797</v>
      </c>
      <c r="N151" s="441"/>
      <c r="O151" s="441"/>
      <c r="P151" s="441"/>
      <c r="Q151" s="441"/>
      <c r="R151" s="441"/>
      <c r="S151" s="441"/>
      <c r="T151" s="441"/>
      <c r="U151" s="441"/>
      <c r="V151" s="441"/>
      <c r="W151" s="441"/>
      <c r="X151" s="441"/>
      <c r="Y151" s="441"/>
      <c r="Z151" s="441"/>
      <c r="AA151" s="441"/>
      <c r="AB151" s="441"/>
      <c r="AC151" s="441"/>
      <c r="AD151" s="441"/>
      <c r="AE151" s="441"/>
      <c r="AF151" s="441"/>
      <c r="AG151" s="441"/>
      <c r="AH151" s="441"/>
      <c r="AI151" s="441"/>
      <c r="AJ151" s="441"/>
      <c r="AK151" s="441"/>
      <c r="AL151" s="441"/>
      <c r="AM151" s="441"/>
      <c r="AN151" s="441"/>
      <c r="AO151" s="441"/>
      <c r="AP151" s="441"/>
      <c r="AQ151" s="441"/>
      <c r="AR151" s="511" t="s">
        <v>797</v>
      </c>
      <c r="AS151" s="441"/>
      <c r="AT151" s="441"/>
      <c r="AU151" s="441"/>
      <c r="AV151" s="511" t="s">
        <v>797</v>
      </c>
      <c r="AW151" s="441"/>
      <c r="AX151" s="441"/>
      <c r="AY151" s="441"/>
      <c r="AZ151" s="442"/>
    </row>
    <row r="152" spans="2:52" ht="14.25" hidden="1" outlineLevel="1">
      <c r="B152" s="437">
        <f t="shared" si="3"/>
        <v>56</v>
      </c>
      <c r="C152" s="255"/>
      <c r="D152" s="438"/>
      <c r="E152" s="438"/>
      <c r="F152" s="438"/>
      <c r="G152" s="89"/>
      <c r="H152" s="89"/>
      <c r="I152" s="440" t="s">
        <v>797</v>
      </c>
      <c r="J152" s="441"/>
      <c r="K152" s="441"/>
      <c r="L152" s="441"/>
      <c r="M152" s="440" t="s">
        <v>797</v>
      </c>
      <c r="N152" s="441"/>
      <c r="O152" s="441"/>
      <c r="P152" s="441"/>
      <c r="Q152" s="441"/>
      <c r="R152" s="441"/>
      <c r="S152" s="441"/>
      <c r="T152" s="441"/>
      <c r="U152" s="441"/>
      <c r="V152" s="441"/>
      <c r="W152" s="441"/>
      <c r="X152" s="441"/>
      <c r="Y152" s="441"/>
      <c r="Z152" s="441"/>
      <c r="AA152" s="441"/>
      <c r="AB152" s="441"/>
      <c r="AC152" s="441"/>
      <c r="AD152" s="441"/>
      <c r="AE152" s="441"/>
      <c r="AF152" s="441"/>
      <c r="AG152" s="441"/>
      <c r="AH152" s="441"/>
      <c r="AI152" s="441"/>
      <c r="AJ152" s="441"/>
      <c r="AK152" s="441"/>
      <c r="AL152" s="441"/>
      <c r="AM152" s="441"/>
      <c r="AN152" s="441"/>
      <c r="AO152" s="441"/>
      <c r="AP152" s="441"/>
      <c r="AQ152" s="441"/>
      <c r="AR152" s="511" t="s">
        <v>797</v>
      </c>
      <c r="AS152" s="441"/>
      <c r="AT152" s="441"/>
      <c r="AU152" s="441"/>
      <c r="AV152" s="511" t="s">
        <v>797</v>
      </c>
      <c r="AW152" s="441"/>
      <c r="AX152" s="441"/>
      <c r="AY152" s="441"/>
      <c r="AZ152" s="442"/>
    </row>
    <row r="153" spans="2:52" ht="14.25" hidden="1" outlineLevel="1">
      <c r="B153" s="437">
        <f t="shared" si="3"/>
        <v>57</v>
      </c>
      <c r="C153" s="255"/>
      <c r="D153" s="438"/>
      <c r="E153" s="438"/>
      <c r="F153" s="438"/>
      <c r="G153" s="89"/>
      <c r="H153" s="89"/>
      <c r="I153" s="440" t="s">
        <v>797</v>
      </c>
      <c r="J153" s="441"/>
      <c r="K153" s="441"/>
      <c r="L153" s="441"/>
      <c r="M153" s="440" t="s">
        <v>797</v>
      </c>
      <c r="N153" s="441"/>
      <c r="O153" s="441"/>
      <c r="P153" s="441"/>
      <c r="Q153" s="441"/>
      <c r="R153" s="441"/>
      <c r="S153" s="441"/>
      <c r="T153" s="441"/>
      <c r="U153" s="441"/>
      <c r="V153" s="441"/>
      <c r="W153" s="441"/>
      <c r="X153" s="441"/>
      <c r="Y153" s="441"/>
      <c r="Z153" s="441"/>
      <c r="AA153" s="441"/>
      <c r="AB153" s="441"/>
      <c r="AC153" s="441"/>
      <c r="AD153" s="441"/>
      <c r="AE153" s="441"/>
      <c r="AF153" s="441"/>
      <c r="AG153" s="441"/>
      <c r="AH153" s="441"/>
      <c r="AI153" s="441"/>
      <c r="AJ153" s="441"/>
      <c r="AK153" s="441"/>
      <c r="AL153" s="441"/>
      <c r="AM153" s="441"/>
      <c r="AN153" s="441"/>
      <c r="AO153" s="441"/>
      <c r="AP153" s="441"/>
      <c r="AQ153" s="441"/>
      <c r="AR153" s="511" t="s">
        <v>797</v>
      </c>
      <c r="AS153" s="441"/>
      <c r="AT153" s="441"/>
      <c r="AU153" s="441"/>
      <c r="AV153" s="511" t="s">
        <v>797</v>
      </c>
      <c r="AW153" s="441"/>
      <c r="AX153" s="441"/>
      <c r="AY153" s="441"/>
      <c r="AZ153" s="442"/>
    </row>
    <row r="154" spans="2:52" ht="14.25" hidden="1" outlineLevel="1">
      <c r="B154" s="437">
        <f t="shared" si="3"/>
        <v>58</v>
      </c>
      <c r="C154" s="255"/>
      <c r="D154" s="438"/>
      <c r="E154" s="438"/>
      <c r="F154" s="438"/>
      <c r="G154" s="89"/>
      <c r="H154" s="89"/>
      <c r="I154" s="440" t="s">
        <v>797</v>
      </c>
      <c r="J154" s="441"/>
      <c r="K154" s="441"/>
      <c r="L154" s="441"/>
      <c r="M154" s="440" t="s">
        <v>797</v>
      </c>
      <c r="N154" s="441"/>
      <c r="O154" s="441"/>
      <c r="P154" s="441"/>
      <c r="Q154" s="441"/>
      <c r="R154" s="441"/>
      <c r="S154" s="441"/>
      <c r="T154" s="441"/>
      <c r="U154" s="441"/>
      <c r="V154" s="441"/>
      <c r="W154" s="441"/>
      <c r="X154" s="441"/>
      <c r="Y154" s="441"/>
      <c r="Z154" s="441"/>
      <c r="AA154" s="441"/>
      <c r="AB154" s="441"/>
      <c r="AC154" s="441"/>
      <c r="AD154" s="441"/>
      <c r="AE154" s="441"/>
      <c r="AF154" s="441"/>
      <c r="AG154" s="441"/>
      <c r="AH154" s="441"/>
      <c r="AI154" s="441"/>
      <c r="AJ154" s="441"/>
      <c r="AK154" s="441"/>
      <c r="AL154" s="441"/>
      <c r="AM154" s="441"/>
      <c r="AN154" s="441"/>
      <c r="AO154" s="441"/>
      <c r="AP154" s="441"/>
      <c r="AQ154" s="441"/>
      <c r="AR154" s="511" t="s">
        <v>797</v>
      </c>
      <c r="AS154" s="441"/>
      <c r="AT154" s="441"/>
      <c r="AU154" s="441"/>
      <c r="AV154" s="511" t="s">
        <v>797</v>
      </c>
      <c r="AW154" s="441"/>
      <c r="AX154" s="441"/>
      <c r="AY154" s="441"/>
      <c r="AZ154" s="442"/>
    </row>
    <row r="155" spans="2:52" ht="14.25" hidden="1" outlineLevel="1">
      <c r="B155" s="437">
        <f t="shared" si="3"/>
        <v>59</v>
      </c>
      <c r="C155" s="255"/>
      <c r="D155" s="438"/>
      <c r="E155" s="438"/>
      <c r="F155" s="438"/>
      <c r="G155" s="89"/>
      <c r="H155" s="89"/>
      <c r="I155" s="440" t="s">
        <v>797</v>
      </c>
      <c r="J155" s="441"/>
      <c r="K155" s="441"/>
      <c r="L155" s="441"/>
      <c r="M155" s="440" t="s">
        <v>797</v>
      </c>
      <c r="N155" s="441"/>
      <c r="O155" s="441"/>
      <c r="P155" s="441"/>
      <c r="Q155" s="441"/>
      <c r="R155" s="441"/>
      <c r="S155" s="441"/>
      <c r="T155" s="441"/>
      <c r="U155" s="441"/>
      <c r="V155" s="441"/>
      <c r="W155" s="441"/>
      <c r="X155" s="441"/>
      <c r="Y155" s="441"/>
      <c r="Z155" s="441"/>
      <c r="AA155" s="441"/>
      <c r="AB155" s="441"/>
      <c r="AC155" s="441"/>
      <c r="AD155" s="441"/>
      <c r="AE155" s="441"/>
      <c r="AF155" s="441"/>
      <c r="AG155" s="441"/>
      <c r="AH155" s="441"/>
      <c r="AI155" s="441"/>
      <c r="AJ155" s="441"/>
      <c r="AK155" s="441"/>
      <c r="AL155" s="441"/>
      <c r="AM155" s="441"/>
      <c r="AN155" s="441"/>
      <c r="AO155" s="441"/>
      <c r="AP155" s="441"/>
      <c r="AQ155" s="441"/>
      <c r="AR155" s="511" t="s">
        <v>797</v>
      </c>
      <c r="AS155" s="441"/>
      <c r="AT155" s="441"/>
      <c r="AU155" s="441"/>
      <c r="AV155" s="511" t="s">
        <v>797</v>
      </c>
      <c r="AW155" s="441"/>
      <c r="AX155" s="441"/>
      <c r="AY155" s="441"/>
      <c r="AZ155" s="442"/>
    </row>
    <row r="156" spans="2:52" ht="14.25" hidden="1" outlineLevel="1">
      <c r="B156" s="437">
        <f t="shared" si="3"/>
        <v>60</v>
      </c>
      <c r="C156" s="255"/>
      <c r="D156" s="438"/>
      <c r="E156" s="438"/>
      <c r="F156" s="438"/>
      <c r="G156" s="89"/>
      <c r="H156" s="89"/>
      <c r="I156" s="440" t="s">
        <v>797</v>
      </c>
      <c r="J156" s="441"/>
      <c r="K156" s="441"/>
      <c r="L156" s="441"/>
      <c r="M156" s="440" t="s">
        <v>797</v>
      </c>
      <c r="N156" s="441"/>
      <c r="O156" s="441"/>
      <c r="P156" s="441"/>
      <c r="Q156" s="441"/>
      <c r="R156" s="441"/>
      <c r="S156" s="441"/>
      <c r="T156" s="441"/>
      <c r="U156" s="441"/>
      <c r="V156" s="441"/>
      <c r="W156" s="441"/>
      <c r="X156" s="441"/>
      <c r="Y156" s="441"/>
      <c r="Z156" s="441"/>
      <c r="AA156" s="441"/>
      <c r="AB156" s="441"/>
      <c r="AC156" s="441"/>
      <c r="AD156" s="441"/>
      <c r="AE156" s="441"/>
      <c r="AF156" s="441"/>
      <c r="AG156" s="441"/>
      <c r="AH156" s="441"/>
      <c r="AI156" s="441"/>
      <c r="AJ156" s="441"/>
      <c r="AK156" s="441"/>
      <c r="AL156" s="441"/>
      <c r="AM156" s="441"/>
      <c r="AN156" s="441"/>
      <c r="AO156" s="441"/>
      <c r="AP156" s="441"/>
      <c r="AQ156" s="441"/>
      <c r="AR156" s="511" t="s">
        <v>797</v>
      </c>
      <c r="AS156" s="441"/>
      <c r="AT156" s="441"/>
      <c r="AU156" s="441"/>
      <c r="AV156" s="511" t="s">
        <v>797</v>
      </c>
      <c r="AW156" s="441"/>
      <c r="AX156" s="441"/>
      <c r="AY156" s="441"/>
      <c r="AZ156" s="442"/>
    </row>
    <row r="157" spans="2:52" ht="14.25" hidden="1" outlineLevel="1">
      <c r="B157" s="437">
        <f t="shared" si="3"/>
        <v>61</v>
      </c>
      <c r="C157" s="255"/>
      <c r="D157" s="438"/>
      <c r="E157" s="438"/>
      <c r="F157" s="438"/>
      <c r="G157" s="89"/>
      <c r="H157" s="89"/>
      <c r="I157" s="440" t="s">
        <v>797</v>
      </c>
      <c r="J157" s="441"/>
      <c r="K157" s="441"/>
      <c r="L157" s="441"/>
      <c r="M157" s="440" t="s">
        <v>797</v>
      </c>
      <c r="N157" s="441"/>
      <c r="O157" s="441"/>
      <c r="P157" s="441"/>
      <c r="Q157" s="441"/>
      <c r="R157" s="441"/>
      <c r="S157" s="441"/>
      <c r="T157" s="441"/>
      <c r="U157" s="441"/>
      <c r="V157" s="441"/>
      <c r="W157" s="441"/>
      <c r="X157" s="441"/>
      <c r="Y157" s="441"/>
      <c r="Z157" s="441"/>
      <c r="AA157" s="441"/>
      <c r="AB157" s="441"/>
      <c r="AC157" s="441"/>
      <c r="AD157" s="441"/>
      <c r="AE157" s="441"/>
      <c r="AF157" s="441"/>
      <c r="AG157" s="441"/>
      <c r="AH157" s="441"/>
      <c r="AI157" s="441"/>
      <c r="AJ157" s="441"/>
      <c r="AK157" s="441"/>
      <c r="AL157" s="441"/>
      <c r="AM157" s="441"/>
      <c r="AN157" s="441"/>
      <c r="AO157" s="441"/>
      <c r="AP157" s="441"/>
      <c r="AQ157" s="441"/>
      <c r="AR157" s="511" t="s">
        <v>797</v>
      </c>
      <c r="AS157" s="441"/>
      <c r="AT157" s="441"/>
      <c r="AU157" s="441"/>
      <c r="AV157" s="511" t="s">
        <v>797</v>
      </c>
      <c r="AW157" s="441"/>
      <c r="AX157" s="441"/>
      <c r="AY157" s="441"/>
      <c r="AZ157" s="442"/>
    </row>
    <row r="158" spans="2:52" ht="14.25" hidden="1" outlineLevel="1">
      <c r="B158" s="437">
        <f t="shared" si="3"/>
        <v>62</v>
      </c>
      <c r="C158" s="255"/>
      <c r="D158" s="438"/>
      <c r="E158" s="438"/>
      <c r="F158" s="438"/>
      <c r="G158" s="89"/>
      <c r="H158" s="89"/>
      <c r="I158" s="440" t="s">
        <v>797</v>
      </c>
      <c r="J158" s="441"/>
      <c r="K158" s="441"/>
      <c r="L158" s="441"/>
      <c r="M158" s="440" t="s">
        <v>797</v>
      </c>
      <c r="N158" s="441"/>
      <c r="O158" s="441"/>
      <c r="P158" s="441"/>
      <c r="Q158" s="441"/>
      <c r="R158" s="441"/>
      <c r="S158" s="441"/>
      <c r="T158" s="441"/>
      <c r="U158" s="441"/>
      <c r="V158" s="441"/>
      <c r="W158" s="441"/>
      <c r="X158" s="441"/>
      <c r="Y158" s="441"/>
      <c r="Z158" s="441"/>
      <c r="AA158" s="441"/>
      <c r="AB158" s="441"/>
      <c r="AC158" s="441"/>
      <c r="AD158" s="441"/>
      <c r="AE158" s="441"/>
      <c r="AF158" s="441"/>
      <c r="AG158" s="441"/>
      <c r="AH158" s="441"/>
      <c r="AI158" s="441"/>
      <c r="AJ158" s="441"/>
      <c r="AK158" s="441"/>
      <c r="AL158" s="441"/>
      <c r="AM158" s="441"/>
      <c r="AN158" s="441"/>
      <c r="AO158" s="441"/>
      <c r="AP158" s="441"/>
      <c r="AQ158" s="441"/>
      <c r="AR158" s="511" t="s">
        <v>797</v>
      </c>
      <c r="AS158" s="441"/>
      <c r="AT158" s="441"/>
      <c r="AU158" s="441"/>
      <c r="AV158" s="511" t="s">
        <v>797</v>
      </c>
      <c r="AW158" s="441"/>
      <c r="AX158" s="441"/>
      <c r="AY158" s="441"/>
      <c r="AZ158" s="442"/>
    </row>
    <row r="159" spans="2:52" ht="14.25" hidden="1" outlineLevel="1">
      <c r="B159" s="437">
        <f t="shared" si="3"/>
        <v>63</v>
      </c>
      <c r="C159" s="255"/>
      <c r="D159" s="438"/>
      <c r="E159" s="438"/>
      <c r="F159" s="438"/>
      <c r="G159" s="89"/>
      <c r="H159" s="89"/>
      <c r="I159" s="440" t="s">
        <v>797</v>
      </c>
      <c r="J159" s="441"/>
      <c r="K159" s="441"/>
      <c r="L159" s="441"/>
      <c r="M159" s="440" t="s">
        <v>797</v>
      </c>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1"/>
      <c r="AJ159" s="441"/>
      <c r="AK159" s="441"/>
      <c r="AL159" s="441"/>
      <c r="AM159" s="441"/>
      <c r="AN159" s="441"/>
      <c r="AO159" s="441"/>
      <c r="AP159" s="441"/>
      <c r="AQ159" s="441"/>
      <c r="AR159" s="511" t="s">
        <v>797</v>
      </c>
      <c r="AS159" s="441"/>
      <c r="AT159" s="441"/>
      <c r="AU159" s="441"/>
      <c r="AV159" s="511" t="s">
        <v>797</v>
      </c>
      <c r="AW159" s="441"/>
      <c r="AX159" s="441"/>
      <c r="AY159" s="441"/>
      <c r="AZ159" s="442"/>
    </row>
    <row r="160" spans="2:52" ht="14.25" hidden="1" outlineLevel="1">
      <c r="B160" s="437">
        <f t="shared" si="3"/>
        <v>64</v>
      </c>
      <c r="C160" s="255"/>
      <c r="D160" s="438"/>
      <c r="E160" s="438"/>
      <c r="F160" s="438"/>
      <c r="G160" s="89"/>
      <c r="H160" s="89"/>
      <c r="I160" s="440" t="s">
        <v>797</v>
      </c>
      <c r="J160" s="441"/>
      <c r="K160" s="441"/>
      <c r="L160" s="441"/>
      <c r="M160" s="440" t="s">
        <v>797</v>
      </c>
      <c r="N160" s="441"/>
      <c r="O160" s="441"/>
      <c r="P160" s="441"/>
      <c r="Q160" s="441"/>
      <c r="R160" s="441"/>
      <c r="S160" s="441"/>
      <c r="T160" s="441"/>
      <c r="U160" s="441"/>
      <c r="V160" s="441"/>
      <c r="W160" s="441"/>
      <c r="X160" s="441"/>
      <c r="Y160" s="441"/>
      <c r="Z160" s="441"/>
      <c r="AA160" s="441"/>
      <c r="AB160" s="441"/>
      <c r="AC160" s="441"/>
      <c r="AD160" s="441"/>
      <c r="AE160" s="441"/>
      <c r="AF160" s="441"/>
      <c r="AG160" s="441"/>
      <c r="AH160" s="441"/>
      <c r="AI160" s="441"/>
      <c r="AJ160" s="441"/>
      <c r="AK160" s="441"/>
      <c r="AL160" s="441"/>
      <c r="AM160" s="441"/>
      <c r="AN160" s="441"/>
      <c r="AO160" s="441"/>
      <c r="AP160" s="441"/>
      <c r="AQ160" s="441"/>
      <c r="AR160" s="511" t="s">
        <v>797</v>
      </c>
      <c r="AS160" s="441"/>
      <c r="AT160" s="441"/>
      <c r="AU160" s="441"/>
      <c r="AV160" s="511" t="s">
        <v>797</v>
      </c>
      <c r="AW160" s="441"/>
      <c r="AX160" s="441"/>
      <c r="AY160" s="441"/>
      <c r="AZ160" s="442"/>
    </row>
    <row r="161" spans="2:52" ht="14.25" hidden="1" outlineLevel="1">
      <c r="B161" s="437">
        <f t="shared" si="3"/>
        <v>65</v>
      </c>
      <c r="C161" s="255"/>
      <c r="D161" s="438"/>
      <c r="E161" s="438"/>
      <c r="F161" s="438"/>
      <c r="G161" s="89"/>
      <c r="H161" s="89"/>
      <c r="I161" s="440" t="s">
        <v>797</v>
      </c>
      <c r="J161" s="441"/>
      <c r="K161" s="441"/>
      <c r="L161" s="441"/>
      <c r="M161" s="440" t="s">
        <v>797</v>
      </c>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1"/>
      <c r="AJ161" s="441"/>
      <c r="AK161" s="441"/>
      <c r="AL161" s="441"/>
      <c r="AM161" s="441"/>
      <c r="AN161" s="441"/>
      <c r="AO161" s="441"/>
      <c r="AP161" s="441"/>
      <c r="AQ161" s="441"/>
      <c r="AR161" s="511" t="s">
        <v>797</v>
      </c>
      <c r="AS161" s="441"/>
      <c r="AT161" s="441"/>
      <c r="AU161" s="441"/>
      <c r="AV161" s="511" t="s">
        <v>797</v>
      </c>
      <c r="AW161" s="441"/>
      <c r="AX161" s="441"/>
      <c r="AY161" s="441"/>
      <c r="AZ161" s="442"/>
    </row>
    <row r="162" spans="2:52" ht="14.25" hidden="1" outlineLevel="1">
      <c r="B162" s="437">
        <f t="shared" si="3"/>
        <v>66</v>
      </c>
      <c r="C162" s="255"/>
      <c r="D162" s="438"/>
      <c r="E162" s="438"/>
      <c r="F162" s="438"/>
      <c r="G162" s="89"/>
      <c r="H162" s="89"/>
      <c r="I162" s="440" t="s">
        <v>797</v>
      </c>
      <c r="J162" s="441"/>
      <c r="K162" s="441"/>
      <c r="L162" s="441"/>
      <c r="M162" s="440" t="s">
        <v>797</v>
      </c>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1"/>
      <c r="AJ162" s="441"/>
      <c r="AK162" s="441"/>
      <c r="AL162" s="441"/>
      <c r="AM162" s="441"/>
      <c r="AN162" s="441"/>
      <c r="AO162" s="441"/>
      <c r="AP162" s="441"/>
      <c r="AQ162" s="441"/>
      <c r="AR162" s="511" t="s">
        <v>797</v>
      </c>
      <c r="AS162" s="441"/>
      <c r="AT162" s="441"/>
      <c r="AU162" s="441"/>
      <c r="AV162" s="511" t="s">
        <v>797</v>
      </c>
      <c r="AW162" s="441"/>
      <c r="AX162" s="441"/>
      <c r="AY162" s="441"/>
      <c r="AZ162" s="442"/>
    </row>
    <row r="163" spans="2:52" ht="14.25" hidden="1" outlineLevel="1">
      <c r="B163" s="437">
        <f t="shared" ref="B163:B176" si="4">1+B162</f>
        <v>67</v>
      </c>
      <c r="C163" s="255"/>
      <c r="D163" s="438"/>
      <c r="E163" s="438"/>
      <c r="F163" s="438"/>
      <c r="G163" s="89"/>
      <c r="H163" s="89"/>
      <c r="I163" s="440" t="s">
        <v>797</v>
      </c>
      <c r="J163" s="441"/>
      <c r="K163" s="441"/>
      <c r="L163" s="441"/>
      <c r="M163" s="440" t="s">
        <v>797</v>
      </c>
      <c r="N163" s="441"/>
      <c r="O163" s="441"/>
      <c r="P163" s="441"/>
      <c r="Q163" s="441"/>
      <c r="R163" s="441"/>
      <c r="S163" s="441"/>
      <c r="T163" s="441"/>
      <c r="U163" s="441"/>
      <c r="V163" s="441"/>
      <c r="W163" s="441"/>
      <c r="X163" s="441"/>
      <c r="Y163" s="441"/>
      <c r="Z163" s="441"/>
      <c r="AA163" s="441"/>
      <c r="AB163" s="441"/>
      <c r="AC163" s="441"/>
      <c r="AD163" s="441"/>
      <c r="AE163" s="441"/>
      <c r="AF163" s="441"/>
      <c r="AG163" s="441"/>
      <c r="AH163" s="441"/>
      <c r="AI163" s="441"/>
      <c r="AJ163" s="441"/>
      <c r="AK163" s="441"/>
      <c r="AL163" s="441"/>
      <c r="AM163" s="441"/>
      <c r="AN163" s="441"/>
      <c r="AO163" s="441"/>
      <c r="AP163" s="441"/>
      <c r="AQ163" s="441"/>
      <c r="AR163" s="511" t="s">
        <v>797</v>
      </c>
      <c r="AS163" s="441"/>
      <c r="AT163" s="441"/>
      <c r="AU163" s="441"/>
      <c r="AV163" s="511" t="s">
        <v>797</v>
      </c>
      <c r="AW163" s="441"/>
      <c r="AX163" s="441"/>
      <c r="AY163" s="441"/>
      <c r="AZ163" s="442"/>
    </row>
    <row r="164" spans="2:52" ht="14.25" hidden="1" outlineLevel="1">
      <c r="B164" s="437">
        <f t="shared" si="4"/>
        <v>68</v>
      </c>
      <c r="C164" s="255"/>
      <c r="D164" s="438"/>
      <c r="E164" s="438"/>
      <c r="F164" s="438"/>
      <c r="G164" s="89"/>
      <c r="H164" s="89"/>
      <c r="I164" s="440" t="s">
        <v>797</v>
      </c>
      <c r="J164" s="441"/>
      <c r="K164" s="441"/>
      <c r="L164" s="441"/>
      <c r="M164" s="440" t="s">
        <v>797</v>
      </c>
      <c r="N164" s="441"/>
      <c r="O164" s="441"/>
      <c r="P164" s="441"/>
      <c r="Q164" s="441"/>
      <c r="R164" s="441"/>
      <c r="S164" s="441"/>
      <c r="T164" s="441"/>
      <c r="U164" s="441"/>
      <c r="V164" s="441"/>
      <c r="W164" s="441"/>
      <c r="X164" s="441"/>
      <c r="Y164" s="441"/>
      <c r="Z164" s="441"/>
      <c r="AA164" s="441"/>
      <c r="AB164" s="441"/>
      <c r="AC164" s="441"/>
      <c r="AD164" s="441"/>
      <c r="AE164" s="441"/>
      <c r="AF164" s="441"/>
      <c r="AG164" s="441"/>
      <c r="AH164" s="441"/>
      <c r="AI164" s="441"/>
      <c r="AJ164" s="441"/>
      <c r="AK164" s="441"/>
      <c r="AL164" s="441"/>
      <c r="AM164" s="441"/>
      <c r="AN164" s="441"/>
      <c r="AO164" s="441"/>
      <c r="AP164" s="441"/>
      <c r="AQ164" s="441"/>
      <c r="AR164" s="511" t="s">
        <v>797</v>
      </c>
      <c r="AS164" s="441"/>
      <c r="AT164" s="441"/>
      <c r="AU164" s="441"/>
      <c r="AV164" s="511" t="s">
        <v>797</v>
      </c>
      <c r="AW164" s="441"/>
      <c r="AX164" s="441"/>
      <c r="AY164" s="441"/>
      <c r="AZ164" s="442"/>
    </row>
    <row r="165" spans="2:52" ht="14.25" hidden="1" outlineLevel="1">
      <c r="B165" s="437">
        <f t="shared" si="4"/>
        <v>69</v>
      </c>
      <c r="C165" s="255"/>
      <c r="D165" s="438"/>
      <c r="E165" s="438"/>
      <c r="F165" s="438"/>
      <c r="G165" s="89"/>
      <c r="H165" s="89"/>
      <c r="I165" s="440" t="s">
        <v>797</v>
      </c>
      <c r="J165" s="441"/>
      <c r="K165" s="441"/>
      <c r="L165" s="441"/>
      <c r="M165" s="440" t="s">
        <v>797</v>
      </c>
      <c r="N165" s="441"/>
      <c r="O165" s="441"/>
      <c r="P165" s="441"/>
      <c r="Q165" s="441"/>
      <c r="R165" s="441"/>
      <c r="S165" s="441"/>
      <c r="T165" s="441"/>
      <c r="U165" s="441"/>
      <c r="V165" s="441"/>
      <c r="W165" s="441"/>
      <c r="X165" s="441"/>
      <c r="Y165" s="441"/>
      <c r="Z165" s="441"/>
      <c r="AA165" s="441"/>
      <c r="AB165" s="441"/>
      <c r="AC165" s="441"/>
      <c r="AD165" s="441"/>
      <c r="AE165" s="441"/>
      <c r="AF165" s="441"/>
      <c r="AG165" s="441"/>
      <c r="AH165" s="441"/>
      <c r="AI165" s="441"/>
      <c r="AJ165" s="441"/>
      <c r="AK165" s="441"/>
      <c r="AL165" s="441"/>
      <c r="AM165" s="441"/>
      <c r="AN165" s="441"/>
      <c r="AO165" s="441"/>
      <c r="AP165" s="441"/>
      <c r="AQ165" s="441"/>
      <c r="AR165" s="511" t="s">
        <v>797</v>
      </c>
      <c r="AS165" s="441"/>
      <c r="AT165" s="441"/>
      <c r="AU165" s="441"/>
      <c r="AV165" s="511" t="s">
        <v>797</v>
      </c>
      <c r="AW165" s="441"/>
      <c r="AX165" s="441"/>
      <c r="AY165" s="441"/>
      <c r="AZ165" s="442"/>
    </row>
    <row r="166" spans="2:52" ht="14.25" hidden="1" outlineLevel="1">
      <c r="B166" s="437">
        <f t="shared" si="4"/>
        <v>70</v>
      </c>
      <c r="C166" s="255"/>
      <c r="D166" s="438"/>
      <c r="E166" s="438"/>
      <c r="F166" s="438"/>
      <c r="G166" s="89"/>
      <c r="H166" s="89"/>
      <c r="I166" s="440" t="s">
        <v>797</v>
      </c>
      <c r="J166" s="441"/>
      <c r="K166" s="441"/>
      <c r="L166" s="441"/>
      <c r="M166" s="440" t="s">
        <v>797</v>
      </c>
      <c r="N166" s="441"/>
      <c r="O166" s="441"/>
      <c r="P166" s="441"/>
      <c r="Q166" s="441"/>
      <c r="R166" s="441"/>
      <c r="S166" s="441"/>
      <c r="T166" s="441"/>
      <c r="U166" s="441"/>
      <c r="V166" s="441"/>
      <c r="W166" s="441"/>
      <c r="X166" s="441"/>
      <c r="Y166" s="441"/>
      <c r="Z166" s="441"/>
      <c r="AA166" s="441"/>
      <c r="AB166" s="441"/>
      <c r="AC166" s="441"/>
      <c r="AD166" s="441"/>
      <c r="AE166" s="441"/>
      <c r="AF166" s="441"/>
      <c r="AG166" s="441"/>
      <c r="AH166" s="441"/>
      <c r="AI166" s="441"/>
      <c r="AJ166" s="441"/>
      <c r="AK166" s="441"/>
      <c r="AL166" s="441"/>
      <c r="AM166" s="441"/>
      <c r="AN166" s="441"/>
      <c r="AO166" s="441"/>
      <c r="AP166" s="441"/>
      <c r="AQ166" s="441"/>
      <c r="AR166" s="511" t="s">
        <v>797</v>
      </c>
      <c r="AS166" s="441"/>
      <c r="AT166" s="441"/>
      <c r="AU166" s="441"/>
      <c r="AV166" s="511" t="s">
        <v>797</v>
      </c>
      <c r="AW166" s="441"/>
      <c r="AX166" s="441"/>
      <c r="AY166" s="441"/>
      <c r="AZ166" s="442"/>
    </row>
    <row r="167" spans="2:52" ht="14.25" hidden="1" outlineLevel="1">
      <c r="B167" s="437">
        <f t="shared" si="4"/>
        <v>71</v>
      </c>
      <c r="C167" s="255"/>
      <c r="D167" s="438"/>
      <c r="E167" s="438"/>
      <c r="F167" s="438"/>
      <c r="G167" s="89"/>
      <c r="H167" s="89"/>
      <c r="I167" s="440" t="s">
        <v>797</v>
      </c>
      <c r="J167" s="441"/>
      <c r="K167" s="441"/>
      <c r="L167" s="441"/>
      <c r="M167" s="440" t="s">
        <v>797</v>
      </c>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511" t="s">
        <v>797</v>
      </c>
      <c r="AS167" s="441"/>
      <c r="AT167" s="441"/>
      <c r="AU167" s="441"/>
      <c r="AV167" s="511" t="s">
        <v>797</v>
      </c>
      <c r="AW167" s="441"/>
      <c r="AX167" s="441"/>
      <c r="AY167" s="441"/>
      <c r="AZ167" s="442"/>
    </row>
    <row r="168" spans="2:52" ht="14.25" hidden="1" outlineLevel="1">
      <c r="B168" s="437">
        <f t="shared" si="4"/>
        <v>72</v>
      </c>
      <c r="C168" s="255"/>
      <c r="D168" s="438"/>
      <c r="E168" s="438"/>
      <c r="F168" s="438"/>
      <c r="G168" s="89"/>
      <c r="H168" s="89"/>
      <c r="I168" s="440" t="s">
        <v>797</v>
      </c>
      <c r="J168" s="441"/>
      <c r="K168" s="441"/>
      <c r="L168" s="441"/>
      <c r="M168" s="440" t="s">
        <v>797</v>
      </c>
      <c r="N168" s="441"/>
      <c r="O168" s="441"/>
      <c r="P168" s="441"/>
      <c r="Q168" s="441"/>
      <c r="R168" s="441"/>
      <c r="S168" s="441"/>
      <c r="T168" s="441"/>
      <c r="U168" s="441"/>
      <c r="V168" s="441"/>
      <c r="W168" s="441"/>
      <c r="X168" s="441"/>
      <c r="Y168" s="441"/>
      <c r="Z168" s="441"/>
      <c r="AA168" s="441"/>
      <c r="AB168" s="441"/>
      <c r="AC168" s="441"/>
      <c r="AD168" s="441"/>
      <c r="AE168" s="441"/>
      <c r="AF168" s="441"/>
      <c r="AG168" s="441"/>
      <c r="AH168" s="441"/>
      <c r="AI168" s="441"/>
      <c r="AJ168" s="441"/>
      <c r="AK168" s="441"/>
      <c r="AL168" s="441"/>
      <c r="AM168" s="441"/>
      <c r="AN168" s="441"/>
      <c r="AO168" s="441"/>
      <c r="AP168" s="441"/>
      <c r="AQ168" s="441"/>
      <c r="AR168" s="511" t="s">
        <v>797</v>
      </c>
      <c r="AS168" s="441"/>
      <c r="AT168" s="441"/>
      <c r="AU168" s="441"/>
      <c r="AV168" s="511" t="s">
        <v>797</v>
      </c>
      <c r="AW168" s="441"/>
      <c r="AX168" s="441"/>
      <c r="AY168" s="441"/>
      <c r="AZ168" s="442"/>
    </row>
    <row r="169" spans="2:52" ht="14.25" hidden="1" outlineLevel="1">
      <c r="B169" s="437">
        <f t="shared" si="4"/>
        <v>73</v>
      </c>
      <c r="C169" s="255"/>
      <c r="D169" s="438"/>
      <c r="E169" s="438"/>
      <c r="F169" s="438"/>
      <c r="G169" s="89"/>
      <c r="H169" s="89"/>
      <c r="I169" s="440" t="s">
        <v>797</v>
      </c>
      <c r="J169" s="441"/>
      <c r="K169" s="441"/>
      <c r="L169" s="441"/>
      <c r="M169" s="440" t="s">
        <v>797</v>
      </c>
      <c r="N169" s="441"/>
      <c r="O169" s="441"/>
      <c r="P169" s="441"/>
      <c r="Q169" s="441"/>
      <c r="R169" s="441"/>
      <c r="S169" s="441"/>
      <c r="T169" s="441"/>
      <c r="U169" s="441"/>
      <c r="V169" s="441"/>
      <c r="W169" s="441"/>
      <c r="X169" s="441"/>
      <c r="Y169" s="441"/>
      <c r="Z169" s="441"/>
      <c r="AA169" s="441"/>
      <c r="AB169" s="441"/>
      <c r="AC169" s="441"/>
      <c r="AD169" s="441"/>
      <c r="AE169" s="441"/>
      <c r="AF169" s="441"/>
      <c r="AG169" s="441"/>
      <c r="AH169" s="441"/>
      <c r="AI169" s="441"/>
      <c r="AJ169" s="441"/>
      <c r="AK169" s="441"/>
      <c r="AL169" s="441"/>
      <c r="AM169" s="441"/>
      <c r="AN169" s="441"/>
      <c r="AO169" s="441"/>
      <c r="AP169" s="441"/>
      <c r="AQ169" s="441"/>
      <c r="AR169" s="511" t="s">
        <v>797</v>
      </c>
      <c r="AS169" s="441"/>
      <c r="AT169" s="441"/>
      <c r="AU169" s="441"/>
      <c r="AV169" s="511" t="s">
        <v>797</v>
      </c>
      <c r="AW169" s="441"/>
      <c r="AX169" s="441"/>
      <c r="AY169" s="441"/>
      <c r="AZ169" s="442"/>
    </row>
    <row r="170" spans="2:52" ht="14.25" hidden="1" outlineLevel="1">
      <c r="B170" s="437">
        <f t="shared" si="4"/>
        <v>74</v>
      </c>
      <c r="C170" s="255"/>
      <c r="D170" s="438"/>
      <c r="E170" s="438"/>
      <c r="F170" s="438"/>
      <c r="G170" s="89"/>
      <c r="H170" s="89"/>
      <c r="I170" s="440" t="s">
        <v>797</v>
      </c>
      <c r="J170" s="441"/>
      <c r="K170" s="441"/>
      <c r="L170" s="441"/>
      <c r="M170" s="440" t="s">
        <v>797</v>
      </c>
      <c r="N170" s="441"/>
      <c r="O170" s="441"/>
      <c r="P170" s="441"/>
      <c r="Q170" s="441"/>
      <c r="R170" s="441"/>
      <c r="S170" s="441"/>
      <c r="T170" s="441"/>
      <c r="U170" s="441"/>
      <c r="V170" s="441"/>
      <c r="W170" s="441"/>
      <c r="X170" s="441"/>
      <c r="Y170" s="441"/>
      <c r="Z170" s="441"/>
      <c r="AA170" s="441"/>
      <c r="AB170" s="441"/>
      <c r="AC170" s="441"/>
      <c r="AD170" s="441"/>
      <c r="AE170" s="441"/>
      <c r="AF170" s="441"/>
      <c r="AG170" s="441"/>
      <c r="AH170" s="441"/>
      <c r="AI170" s="441"/>
      <c r="AJ170" s="441"/>
      <c r="AK170" s="441"/>
      <c r="AL170" s="441"/>
      <c r="AM170" s="441"/>
      <c r="AN170" s="441"/>
      <c r="AO170" s="441"/>
      <c r="AP170" s="441"/>
      <c r="AQ170" s="441"/>
      <c r="AR170" s="511" t="s">
        <v>797</v>
      </c>
      <c r="AS170" s="441"/>
      <c r="AT170" s="441"/>
      <c r="AU170" s="441"/>
      <c r="AV170" s="511" t="s">
        <v>797</v>
      </c>
      <c r="AW170" s="441"/>
      <c r="AX170" s="441"/>
      <c r="AY170" s="441"/>
      <c r="AZ170" s="442"/>
    </row>
    <row r="171" spans="2:52" ht="14.25" hidden="1" outlineLevel="1">
      <c r="B171" s="437">
        <f t="shared" si="4"/>
        <v>75</v>
      </c>
      <c r="C171" s="255"/>
      <c r="D171" s="438"/>
      <c r="E171" s="438"/>
      <c r="F171" s="438"/>
      <c r="G171" s="89"/>
      <c r="H171" s="89"/>
      <c r="I171" s="440" t="s">
        <v>797</v>
      </c>
      <c r="J171" s="441"/>
      <c r="K171" s="441"/>
      <c r="L171" s="441"/>
      <c r="M171" s="440" t="s">
        <v>797</v>
      </c>
      <c r="N171" s="441"/>
      <c r="O171" s="441"/>
      <c r="P171" s="441"/>
      <c r="Q171" s="441"/>
      <c r="R171" s="441"/>
      <c r="S171" s="441"/>
      <c r="T171" s="441"/>
      <c r="U171" s="441"/>
      <c r="V171" s="441"/>
      <c r="W171" s="441"/>
      <c r="X171" s="441"/>
      <c r="Y171" s="441"/>
      <c r="Z171" s="441"/>
      <c r="AA171" s="441"/>
      <c r="AB171" s="441"/>
      <c r="AC171" s="441"/>
      <c r="AD171" s="441"/>
      <c r="AE171" s="441"/>
      <c r="AF171" s="441"/>
      <c r="AG171" s="441"/>
      <c r="AH171" s="441"/>
      <c r="AI171" s="441"/>
      <c r="AJ171" s="441"/>
      <c r="AK171" s="441"/>
      <c r="AL171" s="441"/>
      <c r="AM171" s="441"/>
      <c r="AN171" s="441"/>
      <c r="AO171" s="441"/>
      <c r="AP171" s="441"/>
      <c r="AQ171" s="441"/>
      <c r="AR171" s="511" t="s">
        <v>797</v>
      </c>
      <c r="AS171" s="441"/>
      <c r="AT171" s="441"/>
      <c r="AU171" s="441"/>
      <c r="AV171" s="511" t="s">
        <v>797</v>
      </c>
      <c r="AW171" s="441"/>
      <c r="AX171" s="441"/>
      <c r="AY171" s="441"/>
      <c r="AZ171" s="442"/>
    </row>
    <row r="172" spans="2:52" ht="14.25" hidden="1" outlineLevel="1">
      <c r="B172" s="437">
        <f t="shared" si="4"/>
        <v>76</v>
      </c>
      <c r="C172" s="255"/>
      <c r="D172" s="438"/>
      <c r="E172" s="438"/>
      <c r="F172" s="438"/>
      <c r="G172" s="89"/>
      <c r="H172" s="89"/>
      <c r="I172" s="440" t="s">
        <v>797</v>
      </c>
      <c r="J172" s="441"/>
      <c r="K172" s="441"/>
      <c r="L172" s="441"/>
      <c r="M172" s="440" t="s">
        <v>797</v>
      </c>
      <c r="N172" s="441"/>
      <c r="O172" s="441"/>
      <c r="P172" s="441"/>
      <c r="Q172" s="441"/>
      <c r="R172" s="441"/>
      <c r="S172" s="441"/>
      <c r="T172" s="441"/>
      <c r="U172" s="441"/>
      <c r="V172" s="441"/>
      <c r="W172" s="441"/>
      <c r="X172" s="441"/>
      <c r="Y172" s="441"/>
      <c r="Z172" s="441"/>
      <c r="AA172" s="441"/>
      <c r="AB172" s="441"/>
      <c r="AC172" s="441"/>
      <c r="AD172" s="441"/>
      <c r="AE172" s="441"/>
      <c r="AF172" s="441"/>
      <c r="AG172" s="441"/>
      <c r="AH172" s="441"/>
      <c r="AI172" s="441"/>
      <c r="AJ172" s="441"/>
      <c r="AK172" s="441"/>
      <c r="AL172" s="441"/>
      <c r="AM172" s="441"/>
      <c r="AN172" s="441"/>
      <c r="AO172" s="441"/>
      <c r="AP172" s="441"/>
      <c r="AQ172" s="441"/>
      <c r="AR172" s="511" t="s">
        <v>797</v>
      </c>
      <c r="AS172" s="441"/>
      <c r="AT172" s="441"/>
      <c r="AU172" s="441"/>
      <c r="AV172" s="511" t="s">
        <v>797</v>
      </c>
      <c r="AW172" s="441"/>
      <c r="AX172" s="441"/>
      <c r="AY172" s="441"/>
      <c r="AZ172" s="442"/>
    </row>
    <row r="173" spans="2:52" ht="14.25" hidden="1" outlineLevel="1">
      <c r="B173" s="437">
        <f t="shared" si="4"/>
        <v>77</v>
      </c>
      <c r="C173" s="255"/>
      <c r="D173" s="438"/>
      <c r="E173" s="438"/>
      <c r="F173" s="438"/>
      <c r="G173" s="89"/>
      <c r="H173" s="89"/>
      <c r="I173" s="440" t="s">
        <v>797</v>
      </c>
      <c r="J173" s="441"/>
      <c r="K173" s="441"/>
      <c r="L173" s="441"/>
      <c r="M173" s="440" t="s">
        <v>797</v>
      </c>
      <c r="N173" s="441"/>
      <c r="O173" s="441"/>
      <c r="P173" s="441"/>
      <c r="Q173" s="441"/>
      <c r="R173" s="441"/>
      <c r="S173" s="441"/>
      <c r="T173" s="441"/>
      <c r="U173" s="441"/>
      <c r="V173" s="441"/>
      <c r="W173" s="441"/>
      <c r="X173" s="441"/>
      <c r="Y173" s="441"/>
      <c r="Z173" s="441"/>
      <c r="AA173" s="441"/>
      <c r="AB173" s="441"/>
      <c r="AC173" s="441"/>
      <c r="AD173" s="441"/>
      <c r="AE173" s="441"/>
      <c r="AF173" s="441"/>
      <c r="AG173" s="441"/>
      <c r="AH173" s="441"/>
      <c r="AI173" s="441"/>
      <c r="AJ173" s="441"/>
      <c r="AK173" s="441"/>
      <c r="AL173" s="441"/>
      <c r="AM173" s="441"/>
      <c r="AN173" s="441"/>
      <c r="AO173" s="441"/>
      <c r="AP173" s="441"/>
      <c r="AQ173" s="441"/>
      <c r="AR173" s="511" t="s">
        <v>797</v>
      </c>
      <c r="AS173" s="441"/>
      <c r="AT173" s="441"/>
      <c r="AU173" s="441"/>
      <c r="AV173" s="511" t="s">
        <v>797</v>
      </c>
      <c r="AW173" s="441"/>
      <c r="AX173" s="441"/>
      <c r="AY173" s="441"/>
      <c r="AZ173" s="442"/>
    </row>
    <row r="174" spans="2:52" ht="14.25" hidden="1" outlineLevel="1">
      <c r="B174" s="437">
        <f t="shared" si="4"/>
        <v>78</v>
      </c>
      <c r="C174" s="255"/>
      <c r="D174" s="438"/>
      <c r="E174" s="438"/>
      <c r="F174" s="438"/>
      <c r="G174" s="89"/>
      <c r="H174" s="89"/>
      <c r="I174" s="440" t="s">
        <v>797</v>
      </c>
      <c r="J174" s="441"/>
      <c r="K174" s="441"/>
      <c r="L174" s="441"/>
      <c r="M174" s="440" t="s">
        <v>797</v>
      </c>
      <c r="N174" s="441"/>
      <c r="O174" s="441"/>
      <c r="P174" s="441"/>
      <c r="Q174" s="441"/>
      <c r="R174" s="441"/>
      <c r="S174" s="441"/>
      <c r="T174" s="441"/>
      <c r="U174" s="441"/>
      <c r="V174" s="441"/>
      <c r="W174" s="441"/>
      <c r="X174" s="441"/>
      <c r="Y174" s="441"/>
      <c r="Z174" s="441"/>
      <c r="AA174" s="441"/>
      <c r="AB174" s="441"/>
      <c r="AC174" s="441"/>
      <c r="AD174" s="441"/>
      <c r="AE174" s="441"/>
      <c r="AF174" s="441"/>
      <c r="AG174" s="441"/>
      <c r="AH174" s="441"/>
      <c r="AI174" s="441"/>
      <c r="AJ174" s="441"/>
      <c r="AK174" s="441"/>
      <c r="AL174" s="441"/>
      <c r="AM174" s="441"/>
      <c r="AN174" s="441"/>
      <c r="AO174" s="441"/>
      <c r="AP174" s="441"/>
      <c r="AQ174" s="441"/>
      <c r="AR174" s="511" t="s">
        <v>797</v>
      </c>
      <c r="AS174" s="441"/>
      <c r="AT174" s="441"/>
      <c r="AU174" s="441"/>
      <c r="AV174" s="511" t="s">
        <v>797</v>
      </c>
      <c r="AW174" s="441"/>
      <c r="AX174" s="441"/>
      <c r="AY174" s="441"/>
      <c r="AZ174" s="442"/>
    </row>
    <row r="175" spans="2:52" ht="14.25" hidden="1" outlineLevel="1">
      <c r="B175" s="437">
        <f t="shared" si="4"/>
        <v>79</v>
      </c>
      <c r="C175" s="255"/>
      <c r="D175" s="438"/>
      <c r="E175" s="438"/>
      <c r="F175" s="438"/>
      <c r="G175" s="89"/>
      <c r="H175" s="89"/>
      <c r="I175" s="440" t="s">
        <v>797</v>
      </c>
      <c r="J175" s="441"/>
      <c r="K175" s="441"/>
      <c r="L175" s="441"/>
      <c r="M175" s="440" t="s">
        <v>797</v>
      </c>
      <c r="N175" s="441"/>
      <c r="O175" s="441"/>
      <c r="P175" s="441"/>
      <c r="Q175" s="441"/>
      <c r="R175" s="441"/>
      <c r="S175" s="441"/>
      <c r="T175" s="441"/>
      <c r="U175" s="441"/>
      <c r="V175" s="441"/>
      <c r="W175" s="441"/>
      <c r="X175" s="441"/>
      <c r="Y175" s="441"/>
      <c r="Z175" s="441"/>
      <c r="AA175" s="441"/>
      <c r="AB175" s="441"/>
      <c r="AC175" s="441"/>
      <c r="AD175" s="441"/>
      <c r="AE175" s="441"/>
      <c r="AF175" s="441"/>
      <c r="AG175" s="441"/>
      <c r="AH175" s="441"/>
      <c r="AI175" s="441"/>
      <c r="AJ175" s="441"/>
      <c r="AK175" s="441"/>
      <c r="AL175" s="441"/>
      <c r="AM175" s="441"/>
      <c r="AN175" s="441"/>
      <c r="AO175" s="441"/>
      <c r="AP175" s="441"/>
      <c r="AQ175" s="441"/>
      <c r="AR175" s="511" t="s">
        <v>797</v>
      </c>
      <c r="AS175" s="441"/>
      <c r="AT175" s="441"/>
      <c r="AU175" s="441"/>
      <c r="AV175" s="511" t="s">
        <v>797</v>
      </c>
      <c r="AW175" s="441"/>
      <c r="AX175" s="441"/>
      <c r="AY175" s="441"/>
      <c r="AZ175" s="442"/>
    </row>
    <row r="176" spans="2:52" ht="14.25" collapsed="1">
      <c r="B176" s="437">
        <f t="shared" si="4"/>
        <v>80</v>
      </c>
      <c r="C176" s="255"/>
      <c r="D176" s="438"/>
      <c r="E176" s="438"/>
      <c r="F176" s="438"/>
      <c r="G176" s="89"/>
      <c r="H176" s="89"/>
      <c r="I176" s="440" t="s">
        <v>797</v>
      </c>
      <c r="J176" s="441"/>
      <c r="K176" s="441"/>
      <c r="L176" s="441"/>
      <c r="M176" s="440" t="s">
        <v>797</v>
      </c>
      <c r="N176" s="441"/>
      <c r="O176" s="441"/>
      <c r="P176" s="441"/>
      <c r="Q176" s="441"/>
      <c r="R176" s="441"/>
      <c r="S176" s="441"/>
      <c r="T176" s="441"/>
      <c r="U176" s="441"/>
      <c r="V176" s="441"/>
      <c r="W176" s="441"/>
      <c r="X176" s="441"/>
      <c r="Y176" s="441"/>
      <c r="Z176" s="441"/>
      <c r="AA176" s="441"/>
      <c r="AB176" s="441"/>
      <c r="AC176" s="441"/>
      <c r="AD176" s="441"/>
      <c r="AE176" s="441"/>
      <c r="AF176" s="441"/>
      <c r="AG176" s="441"/>
      <c r="AH176" s="441"/>
      <c r="AI176" s="441"/>
      <c r="AJ176" s="441"/>
      <c r="AK176" s="441"/>
      <c r="AL176" s="441"/>
      <c r="AM176" s="441"/>
      <c r="AN176" s="441"/>
      <c r="AO176" s="441"/>
      <c r="AP176" s="441"/>
      <c r="AQ176" s="441"/>
      <c r="AR176" s="511" t="s">
        <v>797</v>
      </c>
      <c r="AS176" s="441"/>
      <c r="AT176" s="441"/>
      <c r="AU176" s="441"/>
      <c r="AV176" s="511" t="s">
        <v>797</v>
      </c>
      <c r="AW176" s="441"/>
      <c r="AX176" s="441"/>
      <c r="AY176" s="441"/>
      <c r="AZ176" s="442"/>
    </row>
    <row r="177" spans="2:11" ht="12">
      <c r="C177" s="125" t="s">
        <v>808</v>
      </c>
      <c r="D177" s="98"/>
      <c r="E177" s="98"/>
      <c r="F177" s="98"/>
    </row>
    <row r="178" spans="2:11" ht="12">
      <c r="C178" t="s">
        <v>805</v>
      </c>
    </row>
    <row r="179" spans="2:11" ht="12">
      <c r="C179" s="251" t="s">
        <v>806</v>
      </c>
    </row>
    <row r="180" spans="2:11" ht="12">
      <c r="C180" s="251"/>
    </row>
    <row r="181" spans="2:11" ht="12">
      <c r="C181" s="251"/>
    </row>
    <row r="182" spans="2:11" ht="12">
      <c r="C182" s="251"/>
    </row>
    <row r="183" spans="2:11" ht="15.75">
      <c r="C183" s="9" t="s">
        <v>809</v>
      </c>
      <c r="E183" s="448"/>
      <c r="F183" s="448"/>
    </row>
    <row r="184" spans="2:11" ht="12">
      <c r="C184" s="266" t="s">
        <v>810</v>
      </c>
    </row>
    <row r="185" spans="2:11" ht="12">
      <c r="C185" s="266" t="s">
        <v>811</v>
      </c>
    </row>
    <row r="186" spans="2:11" ht="25.15" customHeight="1">
      <c r="C186" s="526" t="s">
        <v>812</v>
      </c>
      <c r="D186" s="526"/>
      <c r="E186" s="526"/>
      <c r="F186" s="526"/>
    </row>
    <row r="187" spans="2:11" ht="12">
      <c r="B187" s="251"/>
      <c r="C187" s="266" t="s">
        <v>813</v>
      </c>
      <c r="G187" s="528">
        <v>2023</v>
      </c>
      <c r="H187" s="529"/>
      <c r="I187" s="530">
        <v>2024</v>
      </c>
      <c r="J187" s="529"/>
    </row>
    <row r="188" spans="2:11" ht="12">
      <c r="B188" s="251"/>
      <c r="C188" s="430" t="s">
        <v>461</v>
      </c>
      <c r="D188" s="430" t="s">
        <v>462</v>
      </c>
      <c r="E188" s="431" t="s">
        <v>463</v>
      </c>
      <c r="F188" s="431" t="s">
        <v>761</v>
      </c>
      <c r="G188" s="449" t="s">
        <v>814</v>
      </c>
      <c r="H188" s="450" t="s">
        <v>815</v>
      </c>
      <c r="I188" s="449" t="s">
        <v>814</v>
      </c>
      <c r="J188" s="450" t="s">
        <v>815</v>
      </c>
      <c r="K188" s="430" t="s">
        <v>498</v>
      </c>
    </row>
    <row r="189" spans="2:11" ht="14.25">
      <c r="B189" s="437">
        <v>1</v>
      </c>
      <c r="C189" s="255" t="s">
        <v>698</v>
      </c>
      <c r="D189" s="438" t="s">
        <v>358</v>
      </c>
      <c r="E189" s="438" t="s">
        <v>334</v>
      </c>
      <c r="F189" s="438" t="s">
        <v>683</v>
      </c>
      <c r="G189" s="89">
        <v>82.86</v>
      </c>
      <c r="H189" s="89">
        <v>99.001127999999994</v>
      </c>
      <c r="I189" s="89">
        <v>82.86</v>
      </c>
      <c r="J189" s="89">
        <v>99.001127999999994</v>
      </c>
      <c r="K189" s="89"/>
    </row>
    <row r="190" spans="2:11" ht="14.25">
      <c r="B190" s="437">
        <f>1+B189</f>
        <v>2</v>
      </c>
      <c r="C190" s="255" t="s">
        <v>697</v>
      </c>
      <c r="D190" s="438" t="s">
        <v>359</v>
      </c>
      <c r="E190" s="438" t="s">
        <v>334</v>
      </c>
      <c r="F190" s="438" t="s">
        <v>683</v>
      </c>
      <c r="G190" s="89">
        <v>82.86</v>
      </c>
      <c r="H190" s="89">
        <v>99.001127999999994</v>
      </c>
      <c r="I190" s="89">
        <v>82.86</v>
      </c>
      <c r="J190" s="89">
        <v>99.001127999999994</v>
      </c>
      <c r="K190" s="89"/>
    </row>
    <row r="191" spans="2:11" ht="14.25">
      <c r="B191" s="437">
        <f t="shared" ref="B191:B254" si="5">1+B190</f>
        <v>3</v>
      </c>
      <c r="C191" s="255" t="s">
        <v>688</v>
      </c>
      <c r="D191" s="438" t="s">
        <v>816</v>
      </c>
      <c r="E191" s="438" t="s">
        <v>334</v>
      </c>
      <c r="F191" s="438" t="s">
        <v>817</v>
      </c>
      <c r="G191" s="89">
        <v>0.34200000000000003</v>
      </c>
      <c r="H191" s="89">
        <v>0.40860000000000002</v>
      </c>
      <c r="I191" s="89">
        <v>0.34200000000000003</v>
      </c>
      <c r="J191" s="89">
        <v>0.40860000000000002</v>
      </c>
      <c r="K191" s="89"/>
    </row>
    <row r="192" spans="2:11" ht="14.25">
      <c r="B192" s="437">
        <f t="shared" si="5"/>
        <v>4</v>
      </c>
      <c r="C192" s="255" t="s">
        <v>818</v>
      </c>
      <c r="D192" s="438" t="s">
        <v>358</v>
      </c>
      <c r="E192" s="438" t="s">
        <v>334</v>
      </c>
      <c r="F192" s="438" t="s">
        <v>819</v>
      </c>
      <c r="G192" s="89">
        <v>1379.31</v>
      </c>
      <c r="H192" s="89">
        <v>1600</v>
      </c>
      <c r="I192" s="89">
        <v>1379.31</v>
      </c>
      <c r="J192" s="89">
        <v>1600</v>
      </c>
      <c r="K192" s="89"/>
    </row>
    <row r="193" spans="2:11" ht="14.25">
      <c r="B193" s="437">
        <f t="shared" si="5"/>
        <v>5</v>
      </c>
      <c r="C193" s="255" t="s">
        <v>820</v>
      </c>
      <c r="D193" s="438" t="s">
        <v>359</v>
      </c>
      <c r="E193" s="438" t="s">
        <v>334</v>
      </c>
      <c r="F193" s="438" t="s">
        <v>819</v>
      </c>
      <c r="G193" s="89">
        <v>1379.31</v>
      </c>
      <c r="H193" s="89">
        <v>1600</v>
      </c>
      <c r="I193" s="89">
        <v>1379.31</v>
      </c>
      <c r="J193" s="89">
        <v>1600</v>
      </c>
      <c r="K193" s="89"/>
    </row>
    <row r="194" spans="2:11" ht="14.25">
      <c r="B194" s="437">
        <f t="shared" si="5"/>
        <v>6</v>
      </c>
      <c r="C194" s="255" t="s">
        <v>821</v>
      </c>
      <c r="D194" s="438" t="s">
        <v>816</v>
      </c>
      <c r="E194" s="438" t="s">
        <v>334</v>
      </c>
      <c r="F194" s="438" t="s">
        <v>819</v>
      </c>
      <c r="G194" s="89">
        <v>1379.31</v>
      </c>
      <c r="H194" s="89">
        <v>1600</v>
      </c>
      <c r="I194" s="89">
        <v>1379.31</v>
      </c>
      <c r="J194" s="89">
        <v>1600</v>
      </c>
      <c r="K194" s="89"/>
    </row>
    <row r="195" spans="2:11" ht="14.25">
      <c r="B195" s="437">
        <f t="shared" si="5"/>
        <v>7</v>
      </c>
      <c r="C195" s="255" t="s">
        <v>165</v>
      </c>
      <c r="D195" s="438" t="s">
        <v>358</v>
      </c>
      <c r="E195" s="438" t="s">
        <v>334</v>
      </c>
      <c r="F195" s="438" t="s">
        <v>683</v>
      </c>
      <c r="G195" s="89">
        <v>156.55000000000001</v>
      </c>
      <c r="H195" s="89">
        <v>187.04594000000003</v>
      </c>
      <c r="I195" s="89">
        <v>156.55000000000001</v>
      </c>
      <c r="J195" s="89">
        <v>187.04594000000003</v>
      </c>
      <c r="K195" s="89" t="s">
        <v>822</v>
      </c>
    </row>
    <row r="196" spans="2:11" ht="14.25">
      <c r="B196" s="437">
        <f t="shared" si="5"/>
        <v>8</v>
      </c>
      <c r="C196" s="255" t="s">
        <v>168</v>
      </c>
      <c r="D196" s="438" t="s">
        <v>359</v>
      </c>
      <c r="E196" s="438" t="s">
        <v>334</v>
      </c>
      <c r="F196" s="438" t="s">
        <v>683</v>
      </c>
      <c r="G196" s="443">
        <v>198</v>
      </c>
      <c r="H196" s="443">
        <v>236.57039999999998</v>
      </c>
      <c r="I196" s="443">
        <v>198</v>
      </c>
      <c r="J196" s="443">
        <v>236.57039999999998</v>
      </c>
      <c r="K196" s="89"/>
    </row>
    <row r="197" spans="2:11" ht="14.25">
      <c r="B197" s="437">
        <f t="shared" si="5"/>
        <v>9</v>
      </c>
      <c r="C197" s="255" t="s">
        <v>699</v>
      </c>
      <c r="D197" s="438" t="s">
        <v>816</v>
      </c>
      <c r="E197" s="438" t="s">
        <v>334</v>
      </c>
      <c r="F197" s="438" t="s">
        <v>817</v>
      </c>
      <c r="G197" s="89">
        <v>9.42</v>
      </c>
      <c r="H197" s="89">
        <v>11.255015999999999</v>
      </c>
      <c r="I197" s="89">
        <v>9.42</v>
      </c>
      <c r="J197" s="89">
        <v>11.255015999999999</v>
      </c>
      <c r="K197" s="89"/>
    </row>
    <row r="198" spans="2:11" ht="14.25">
      <c r="B198" s="437">
        <f t="shared" si="5"/>
        <v>10</v>
      </c>
      <c r="C198" s="255" t="s">
        <v>700</v>
      </c>
      <c r="D198" s="438" t="s">
        <v>816</v>
      </c>
      <c r="E198" s="438" t="s">
        <v>334</v>
      </c>
      <c r="F198" s="438" t="s">
        <v>817</v>
      </c>
      <c r="G198" s="89">
        <v>6.93</v>
      </c>
      <c r="H198" s="89">
        <v>8.2799639999999979</v>
      </c>
      <c r="I198" s="89">
        <v>6.93</v>
      </c>
      <c r="J198" s="89">
        <v>8.2799639999999979</v>
      </c>
      <c r="K198" s="89"/>
    </row>
    <row r="199" spans="2:11" ht="14.65" customHeight="1">
      <c r="B199" s="437">
        <f t="shared" si="5"/>
        <v>11</v>
      </c>
      <c r="C199" s="255" t="s">
        <v>701</v>
      </c>
      <c r="D199" s="438" t="s">
        <v>816</v>
      </c>
      <c r="E199" s="438" t="s">
        <v>334</v>
      </c>
      <c r="F199" s="438" t="s">
        <v>817</v>
      </c>
      <c r="G199" s="89">
        <v>8.34</v>
      </c>
      <c r="H199" s="89">
        <v>9.9646319999999982</v>
      </c>
      <c r="I199" s="89">
        <v>8.34</v>
      </c>
      <c r="J199" s="89">
        <v>9.9646319999999982</v>
      </c>
      <c r="K199" s="89"/>
    </row>
    <row r="200" spans="2:11" ht="14.65" customHeight="1">
      <c r="B200" s="437">
        <f t="shared" si="5"/>
        <v>12</v>
      </c>
      <c r="C200" s="255" t="s">
        <v>702</v>
      </c>
      <c r="D200" s="438" t="s">
        <v>816</v>
      </c>
      <c r="E200" s="438" t="s">
        <v>334</v>
      </c>
      <c r="F200" s="438" t="s">
        <v>817</v>
      </c>
      <c r="G200" s="89">
        <v>6.29</v>
      </c>
      <c r="H200" s="89">
        <v>7.5152919999999996</v>
      </c>
      <c r="I200" s="89">
        <v>6.29</v>
      </c>
      <c r="J200" s="89">
        <v>7.5152919999999996</v>
      </c>
      <c r="K200" s="89"/>
    </row>
    <row r="201" spans="2:11" ht="14.65" customHeight="1">
      <c r="B201" s="437">
        <f t="shared" si="5"/>
        <v>13</v>
      </c>
      <c r="C201" s="255" t="s">
        <v>703</v>
      </c>
      <c r="D201" s="438" t="s">
        <v>816</v>
      </c>
      <c r="E201" s="438" t="s">
        <v>334</v>
      </c>
      <c r="F201" s="438" t="s">
        <v>817</v>
      </c>
      <c r="G201" s="89">
        <v>13.09</v>
      </c>
      <c r="H201" s="89">
        <v>15.639931999999998</v>
      </c>
      <c r="I201" s="89">
        <v>13.09</v>
      </c>
      <c r="J201" s="89">
        <v>15.639931999999998</v>
      </c>
      <c r="K201" s="89"/>
    </row>
    <row r="202" spans="2:11" ht="14.65" customHeight="1">
      <c r="B202" s="437">
        <f t="shared" si="5"/>
        <v>14</v>
      </c>
      <c r="C202" s="255" t="s">
        <v>704</v>
      </c>
      <c r="D202" s="438" t="s">
        <v>816</v>
      </c>
      <c r="E202" s="438" t="s">
        <v>334</v>
      </c>
      <c r="F202" s="438" t="s">
        <v>817</v>
      </c>
      <c r="G202" s="89">
        <v>14.83</v>
      </c>
      <c r="H202" s="89">
        <v>17.718883999999999</v>
      </c>
      <c r="I202" s="89">
        <v>14.83</v>
      </c>
      <c r="J202" s="89">
        <v>17.718883999999999</v>
      </c>
      <c r="K202" s="89"/>
    </row>
    <row r="203" spans="2:11" ht="14.65" customHeight="1">
      <c r="B203" s="437">
        <f t="shared" si="5"/>
        <v>15</v>
      </c>
      <c r="C203" s="255" t="s">
        <v>705</v>
      </c>
      <c r="D203" s="438" t="s">
        <v>816</v>
      </c>
      <c r="E203" s="438" t="s">
        <v>334</v>
      </c>
      <c r="F203" s="438" t="s">
        <v>817</v>
      </c>
      <c r="G203" s="89">
        <v>13.64</v>
      </c>
      <c r="H203" s="89">
        <v>16.297072</v>
      </c>
      <c r="I203" s="89">
        <v>13.64</v>
      </c>
      <c r="J203" s="89">
        <v>16.297072</v>
      </c>
      <c r="K203" s="89"/>
    </row>
    <row r="204" spans="2:11" ht="14.65" customHeight="1">
      <c r="B204" s="437">
        <f t="shared" si="5"/>
        <v>16</v>
      </c>
      <c r="C204" s="255" t="s">
        <v>706</v>
      </c>
      <c r="D204" s="438" t="s">
        <v>816</v>
      </c>
      <c r="E204" s="438" t="s">
        <v>334</v>
      </c>
      <c r="F204" s="438" t="s">
        <v>817</v>
      </c>
      <c r="G204" s="89">
        <v>2</v>
      </c>
      <c r="H204" s="89">
        <v>2.3895999999999997</v>
      </c>
      <c r="I204" s="89">
        <v>2</v>
      </c>
      <c r="J204" s="89">
        <v>2.3895999999999997</v>
      </c>
      <c r="K204" s="89"/>
    </row>
    <row r="205" spans="2:11" ht="14.65" customHeight="1">
      <c r="B205" s="437">
        <f t="shared" si="5"/>
        <v>17</v>
      </c>
      <c r="C205" s="255" t="s">
        <v>710</v>
      </c>
      <c r="D205" s="438" t="s">
        <v>816</v>
      </c>
      <c r="E205" s="438" t="s">
        <v>334</v>
      </c>
      <c r="F205" s="438" t="s">
        <v>823</v>
      </c>
      <c r="G205" s="89">
        <v>0.04</v>
      </c>
      <c r="H205" s="89">
        <v>4.7792000000000001E-2</v>
      </c>
      <c r="I205" s="89">
        <v>0.04</v>
      </c>
      <c r="J205" s="89">
        <v>4.7792000000000001E-2</v>
      </c>
      <c r="K205" s="89"/>
    </row>
    <row r="206" spans="2:11" ht="14.65" customHeight="1">
      <c r="B206" s="437">
        <f t="shared" si="5"/>
        <v>18</v>
      </c>
      <c r="C206" s="255" t="s">
        <v>707</v>
      </c>
      <c r="D206" s="438" t="s">
        <v>816</v>
      </c>
      <c r="E206" s="438" t="s">
        <v>334</v>
      </c>
      <c r="F206" s="438" t="s">
        <v>823</v>
      </c>
      <c r="G206" s="89">
        <v>0.14000000000000001</v>
      </c>
      <c r="H206" s="89">
        <v>0.16727200000000003</v>
      </c>
      <c r="I206" s="89">
        <v>0.14000000000000001</v>
      </c>
      <c r="J206" s="89">
        <v>0.16727200000000003</v>
      </c>
      <c r="K206" s="89"/>
    </row>
    <row r="207" spans="2:11" ht="14.25">
      <c r="B207" s="437">
        <f t="shared" si="5"/>
        <v>19</v>
      </c>
      <c r="C207" s="255" t="s">
        <v>708</v>
      </c>
      <c r="D207" s="438" t="s">
        <v>816</v>
      </c>
      <c r="E207" s="438" t="s">
        <v>334</v>
      </c>
      <c r="F207" s="438" t="s">
        <v>823</v>
      </c>
      <c r="G207" s="89">
        <v>0.16</v>
      </c>
      <c r="H207" s="89">
        <v>0.191168</v>
      </c>
      <c r="I207" s="89">
        <v>0.16</v>
      </c>
      <c r="J207" s="89">
        <v>0.191168</v>
      </c>
      <c r="K207" s="89"/>
    </row>
    <row r="208" spans="2:11" ht="14.25">
      <c r="B208" s="437">
        <f t="shared" si="5"/>
        <v>20</v>
      </c>
      <c r="C208" s="255" t="s">
        <v>712</v>
      </c>
      <c r="D208" s="438" t="s">
        <v>816</v>
      </c>
      <c r="E208" s="438" t="s">
        <v>334</v>
      </c>
      <c r="F208" s="438" t="s">
        <v>823</v>
      </c>
      <c r="G208" s="89">
        <v>0.18</v>
      </c>
      <c r="H208" s="89">
        <v>0.21506399999999998</v>
      </c>
      <c r="I208" s="89">
        <v>0.18</v>
      </c>
      <c r="J208" s="89">
        <v>0.21506399999999998</v>
      </c>
      <c r="K208" s="89"/>
    </row>
    <row r="209" spans="2:11" ht="14.25">
      <c r="B209" s="437">
        <f t="shared" si="5"/>
        <v>21</v>
      </c>
      <c r="C209" s="255" t="s">
        <v>715</v>
      </c>
      <c r="D209" s="438" t="s">
        <v>816</v>
      </c>
      <c r="E209" s="438" t="s">
        <v>334</v>
      </c>
      <c r="F209" s="438" t="s">
        <v>823</v>
      </c>
      <c r="G209" s="89">
        <v>0.25</v>
      </c>
      <c r="H209" s="89">
        <v>0.29869999999999997</v>
      </c>
      <c r="I209" s="89">
        <v>0.25</v>
      </c>
      <c r="J209" s="89">
        <v>0.29869999999999997</v>
      </c>
      <c r="K209" s="89"/>
    </row>
    <row r="210" spans="2:11" ht="14.25">
      <c r="B210" s="437">
        <f t="shared" si="5"/>
        <v>22</v>
      </c>
      <c r="C210" s="255" t="s">
        <v>714</v>
      </c>
      <c r="D210" s="438" t="s">
        <v>816</v>
      </c>
      <c r="E210" s="438" t="s">
        <v>334</v>
      </c>
      <c r="F210" s="438" t="s">
        <v>823</v>
      </c>
      <c r="G210" s="89">
        <v>0.24</v>
      </c>
      <c r="H210" s="89">
        <v>0.28675200000000001</v>
      </c>
      <c r="I210" s="89">
        <v>0.24</v>
      </c>
      <c r="J210" s="89">
        <v>0.28675200000000001</v>
      </c>
      <c r="K210" s="89"/>
    </row>
    <row r="211" spans="2:11" ht="14.25">
      <c r="B211" s="437">
        <f t="shared" si="5"/>
        <v>23</v>
      </c>
      <c r="C211" s="255" t="s">
        <v>713</v>
      </c>
      <c r="D211" s="438" t="s">
        <v>816</v>
      </c>
      <c r="E211" s="438" t="s">
        <v>334</v>
      </c>
      <c r="F211" s="438" t="s">
        <v>823</v>
      </c>
      <c r="G211" s="89">
        <v>0.12</v>
      </c>
      <c r="H211" s="89">
        <v>0.143376</v>
      </c>
      <c r="I211" s="89">
        <v>0.12</v>
      </c>
      <c r="J211" s="89">
        <v>0.143376</v>
      </c>
      <c r="K211" s="89"/>
    </row>
    <row r="212" spans="2:11" ht="14.25">
      <c r="B212" s="437">
        <f t="shared" si="5"/>
        <v>24</v>
      </c>
      <c r="C212" s="255" t="s">
        <v>711</v>
      </c>
      <c r="D212" s="438" t="s">
        <v>816</v>
      </c>
      <c r="E212" s="438" t="s">
        <v>334</v>
      </c>
      <c r="F212" s="438" t="s">
        <v>823</v>
      </c>
      <c r="G212" s="89">
        <v>0.27</v>
      </c>
      <c r="H212" s="89">
        <v>0.32259599999999999</v>
      </c>
      <c r="I212" s="89">
        <v>0.27</v>
      </c>
      <c r="J212" s="89">
        <v>0.32259599999999999</v>
      </c>
      <c r="K212" s="89"/>
    </row>
    <row r="213" spans="2:11" ht="14.25">
      <c r="B213" s="437">
        <f t="shared" si="5"/>
        <v>25</v>
      </c>
      <c r="C213" s="255" t="s">
        <v>709</v>
      </c>
      <c r="D213" s="438" t="s">
        <v>816</v>
      </c>
      <c r="E213" s="438" t="s">
        <v>334</v>
      </c>
      <c r="F213" s="438" t="s">
        <v>823</v>
      </c>
      <c r="G213" s="89">
        <v>1.2500000000000001E-2</v>
      </c>
      <c r="H213" s="89">
        <v>1.4934999999999999E-2</v>
      </c>
      <c r="I213" s="89">
        <v>1.2500000000000001E-2</v>
      </c>
      <c r="J213" s="89">
        <v>1.4934999999999999E-2</v>
      </c>
      <c r="K213" s="89"/>
    </row>
    <row r="214" spans="2:11" ht="14.25">
      <c r="B214" s="437">
        <f t="shared" si="5"/>
        <v>26</v>
      </c>
      <c r="C214" s="255" t="s">
        <v>716</v>
      </c>
      <c r="D214" s="438" t="s">
        <v>359</v>
      </c>
      <c r="E214" s="438" t="s">
        <v>334</v>
      </c>
      <c r="F214" s="438" t="s">
        <v>686</v>
      </c>
      <c r="G214" s="89">
        <v>1.48</v>
      </c>
      <c r="H214" s="89">
        <v>1.7683039999999999</v>
      </c>
      <c r="I214" s="89">
        <v>1.48</v>
      </c>
      <c r="J214" s="89">
        <v>1.7683039999999999</v>
      </c>
      <c r="K214" s="89"/>
    </row>
    <row r="215" spans="2:11" ht="14.65" customHeight="1">
      <c r="B215" s="437">
        <f t="shared" si="5"/>
        <v>27</v>
      </c>
      <c r="C215" s="255" t="s">
        <v>717</v>
      </c>
      <c r="D215" s="438" t="s">
        <v>358</v>
      </c>
      <c r="E215" s="438" t="s">
        <v>334</v>
      </c>
      <c r="F215" s="438" t="s">
        <v>686</v>
      </c>
      <c r="G215" s="89">
        <v>1.48</v>
      </c>
      <c r="H215" s="89">
        <v>1.7683039999999999</v>
      </c>
      <c r="I215" s="89">
        <v>1.48</v>
      </c>
      <c r="J215" s="89">
        <v>1.7683039999999999</v>
      </c>
      <c r="K215" s="89"/>
    </row>
    <row r="216" spans="2:11" ht="14.65" customHeight="1">
      <c r="B216" s="437">
        <f t="shared" si="5"/>
        <v>28</v>
      </c>
      <c r="C216" s="255" t="s">
        <v>824</v>
      </c>
      <c r="D216" s="438" t="s">
        <v>358</v>
      </c>
      <c r="E216" s="438" t="s">
        <v>334</v>
      </c>
      <c r="F216" s="438" t="s">
        <v>683</v>
      </c>
      <c r="G216" s="89">
        <v>100</v>
      </c>
      <c r="H216" s="89">
        <v>119.47999999999999</v>
      </c>
      <c r="I216" s="89">
        <v>100</v>
      </c>
      <c r="J216" s="89">
        <v>119.47999999999999</v>
      </c>
      <c r="K216" s="89" t="s">
        <v>825</v>
      </c>
    </row>
    <row r="217" spans="2:11" ht="14.65" customHeight="1">
      <c r="B217" s="437">
        <f t="shared" si="5"/>
        <v>29</v>
      </c>
      <c r="C217" s="255" t="s">
        <v>826</v>
      </c>
      <c r="D217" s="438" t="s">
        <v>358</v>
      </c>
      <c r="E217" s="438" t="s">
        <v>334</v>
      </c>
      <c r="F217" s="438" t="s">
        <v>683</v>
      </c>
      <c r="G217" s="89">
        <v>149.82</v>
      </c>
      <c r="H217" s="89">
        <v>179.00493599999999</v>
      </c>
      <c r="I217" s="89">
        <v>149.82</v>
      </c>
      <c r="J217" s="89">
        <v>179.00493599999999</v>
      </c>
      <c r="K217" s="89" t="s">
        <v>825</v>
      </c>
    </row>
    <row r="218" spans="2:11" ht="14.65" customHeight="1">
      <c r="B218" s="437">
        <f t="shared" si="5"/>
        <v>30</v>
      </c>
      <c r="C218" s="255" t="s">
        <v>827</v>
      </c>
      <c r="D218" s="438" t="s">
        <v>358</v>
      </c>
      <c r="E218" s="438" t="s">
        <v>334</v>
      </c>
      <c r="F218" s="438" t="s">
        <v>683</v>
      </c>
      <c r="G218" s="89">
        <v>100</v>
      </c>
      <c r="H218" s="89">
        <v>119.47999999999999</v>
      </c>
      <c r="I218" s="89">
        <v>100</v>
      </c>
      <c r="J218" s="89">
        <v>119.47999999999999</v>
      </c>
      <c r="K218" s="89" t="s">
        <v>825</v>
      </c>
    </row>
    <row r="219" spans="2:11" ht="14.65" customHeight="1">
      <c r="B219" s="437">
        <f t="shared" si="5"/>
        <v>31</v>
      </c>
      <c r="C219" s="255" t="s">
        <v>828</v>
      </c>
      <c r="D219" s="438" t="s">
        <v>816</v>
      </c>
      <c r="E219" s="438" t="s">
        <v>334</v>
      </c>
      <c r="F219" s="438" t="s">
        <v>817</v>
      </c>
      <c r="G219" s="89"/>
      <c r="H219" s="89"/>
      <c r="I219" s="89"/>
      <c r="J219" s="89"/>
      <c r="K219" s="89" t="s">
        <v>829</v>
      </c>
    </row>
    <row r="220" spans="2:11" ht="14.65" customHeight="1">
      <c r="B220" s="437">
        <f t="shared" si="5"/>
        <v>32</v>
      </c>
      <c r="C220" s="255" t="s">
        <v>830</v>
      </c>
      <c r="D220" s="438" t="s">
        <v>358</v>
      </c>
      <c r="E220" s="438" t="s">
        <v>334</v>
      </c>
      <c r="F220" s="438" t="s">
        <v>817</v>
      </c>
      <c r="G220" s="89">
        <v>1.1399999999999999</v>
      </c>
      <c r="H220" s="89">
        <v>1.3620719999999997</v>
      </c>
      <c r="I220" s="89">
        <v>1.1399999999999999</v>
      </c>
      <c r="J220" s="89">
        <v>1.3620719999999997</v>
      </c>
      <c r="K220" s="89" t="s">
        <v>825</v>
      </c>
    </row>
    <row r="221" spans="2:11" ht="14.65" customHeight="1">
      <c r="B221" s="437">
        <f t="shared" si="5"/>
        <v>33</v>
      </c>
      <c r="C221" s="255" t="s">
        <v>831</v>
      </c>
      <c r="D221" s="438" t="s">
        <v>358</v>
      </c>
      <c r="E221" s="438" t="s">
        <v>334</v>
      </c>
      <c r="F221" s="438" t="s">
        <v>817</v>
      </c>
      <c r="G221" s="89">
        <v>4.62</v>
      </c>
      <c r="H221" s="89">
        <v>5.5199759999999998</v>
      </c>
      <c r="I221" s="89">
        <v>4.62</v>
      </c>
      <c r="J221" s="89">
        <v>5.5199759999999998</v>
      </c>
      <c r="K221" s="89" t="s">
        <v>825</v>
      </c>
    </row>
    <row r="222" spans="2:11" ht="14.65" customHeight="1">
      <c r="B222" s="437">
        <f t="shared" si="5"/>
        <v>34</v>
      </c>
      <c r="C222" s="255" t="s">
        <v>832</v>
      </c>
      <c r="D222" s="438" t="s">
        <v>358</v>
      </c>
      <c r="E222" s="438" t="s">
        <v>334</v>
      </c>
      <c r="F222" s="438" t="s">
        <v>817</v>
      </c>
      <c r="G222" s="89">
        <v>1.5</v>
      </c>
      <c r="H222" s="89">
        <v>1.7921999999999998</v>
      </c>
      <c r="I222" s="89">
        <v>1.5</v>
      </c>
      <c r="J222" s="89">
        <v>1.7921999999999998</v>
      </c>
      <c r="K222" s="89" t="s">
        <v>825</v>
      </c>
    </row>
    <row r="223" spans="2:11" ht="14.65" customHeight="1">
      <c r="B223" s="437">
        <f t="shared" si="5"/>
        <v>35</v>
      </c>
      <c r="C223" s="255" t="s">
        <v>833</v>
      </c>
      <c r="D223" s="438" t="s">
        <v>358</v>
      </c>
      <c r="E223" s="438" t="s">
        <v>334</v>
      </c>
      <c r="F223" s="438" t="s">
        <v>817</v>
      </c>
      <c r="G223" s="89">
        <v>3</v>
      </c>
      <c r="H223" s="89">
        <v>3.5843999999999996</v>
      </c>
      <c r="I223" s="89">
        <v>3</v>
      </c>
      <c r="J223" s="89">
        <v>3.5843999999999996</v>
      </c>
      <c r="K223" s="89" t="s">
        <v>825</v>
      </c>
    </row>
    <row r="224" spans="2:11" ht="14.65" customHeight="1">
      <c r="B224" s="437">
        <f t="shared" si="5"/>
        <v>36</v>
      </c>
      <c r="C224" s="255" t="s">
        <v>834</v>
      </c>
      <c r="D224" s="438" t="s">
        <v>359</v>
      </c>
      <c r="E224" s="438" t="s">
        <v>334</v>
      </c>
      <c r="F224" s="438" t="s">
        <v>817</v>
      </c>
      <c r="G224" s="89">
        <v>1</v>
      </c>
      <c r="H224" s="89">
        <v>1.1947999999999999</v>
      </c>
      <c r="I224" s="89">
        <v>1</v>
      </c>
      <c r="J224" s="89">
        <v>1.1947999999999999</v>
      </c>
      <c r="K224" s="89"/>
    </row>
    <row r="225" spans="2:11" ht="14.65" customHeight="1">
      <c r="B225" s="437">
        <f t="shared" si="5"/>
        <v>37</v>
      </c>
      <c r="C225" s="255" t="s">
        <v>835</v>
      </c>
      <c r="D225" s="438" t="s">
        <v>359</v>
      </c>
      <c r="E225" s="438" t="s">
        <v>334</v>
      </c>
      <c r="F225" s="438" t="s">
        <v>817</v>
      </c>
      <c r="G225" s="89">
        <v>2</v>
      </c>
      <c r="H225" s="89">
        <v>2.3895999999999997</v>
      </c>
      <c r="I225" s="89">
        <v>2</v>
      </c>
      <c r="J225" s="89">
        <v>2.3895999999999997</v>
      </c>
      <c r="K225" s="89"/>
    </row>
    <row r="226" spans="2:11" ht="14.65" customHeight="1">
      <c r="B226" s="437">
        <f t="shared" si="5"/>
        <v>38</v>
      </c>
      <c r="C226" s="255" t="s">
        <v>836</v>
      </c>
      <c r="D226" s="438" t="s">
        <v>358</v>
      </c>
      <c r="E226" s="438" t="s">
        <v>334</v>
      </c>
      <c r="F226" s="438" t="s">
        <v>683</v>
      </c>
      <c r="G226" s="89">
        <v>86.96</v>
      </c>
      <c r="H226" s="89">
        <v>103.89980799999998</v>
      </c>
      <c r="I226" s="89">
        <v>86.96</v>
      </c>
      <c r="J226" s="89">
        <v>103.89980799999998</v>
      </c>
      <c r="K226" s="89" t="s">
        <v>825</v>
      </c>
    </row>
    <row r="227" spans="2:11" ht="14.65" customHeight="1">
      <c r="B227" s="437">
        <f t="shared" si="5"/>
        <v>39</v>
      </c>
      <c r="C227" s="255" t="s">
        <v>837</v>
      </c>
      <c r="D227" s="438" t="s">
        <v>358</v>
      </c>
      <c r="E227" s="438" t="s">
        <v>334</v>
      </c>
      <c r="F227" s="438" t="s">
        <v>683</v>
      </c>
      <c r="G227" s="89">
        <v>250.25</v>
      </c>
      <c r="H227" s="89">
        <v>298.99869999999999</v>
      </c>
      <c r="I227" s="89">
        <v>250.25</v>
      </c>
      <c r="J227" s="89">
        <v>298.99869999999999</v>
      </c>
      <c r="K227" s="89" t="s">
        <v>825</v>
      </c>
    </row>
    <row r="228" spans="2:11" ht="14.65" customHeight="1">
      <c r="B228" s="437">
        <f t="shared" si="5"/>
        <v>40</v>
      </c>
      <c r="C228" s="255" t="s">
        <v>838</v>
      </c>
      <c r="D228" s="438" t="s">
        <v>358</v>
      </c>
      <c r="E228" s="438" t="s">
        <v>334</v>
      </c>
      <c r="F228" s="438" t="s">
        <v>683</v>
      </c>
      <c r="G228" s="89">
        <v>99.6</v>
      </c>
      <c r="H228" s="89">
        <v>119.00207999999999</v>
      </c>
      <c r="I228" s="89">
        <v>99.6</v>
      </c>
      <c r="J228" s="89">
        <v>119.00207999999999</v>
      </c>
      <c r="K228" s="89" t="s">
        <v>825</v>
      </c>
    </row>
    <row r="229" spans="2:11" ht="14.65" customHeight="1">
      <c r="B229" s="437">
        <f t="shared" si="5"/>
        <v>41</v>
      </c>
      <c r="C229" s="255" t="s">
        <v>839</v>
      </c>
      <c r="D229" s="438" t="s">
        <v>359</v>
      </c>
      <c r="E229" s="438" t="s">
        <v>334</v>
      </c>
      <c r="F229" s="438" t="s">
        <v>683</v>
      </c>
      <c r="G229" s="89">
        <v>50</v>
      </c>
      <c r="H229" s="89">
        <v>59.739999999999995</v>
      </c>
      <c r="I229" s="89">
        <v>50</v>
      </c>
      <c r="J229" s="89">
        <v>59.739999999999995</v>
      </c>
      <c r="K229" s="89" t="s">
        <v>840</v>
      </c>
    </row>
    <row r="230" spans="2:11" ht="14.65" customHeight="1">
      <c r="B230" s="437">
        <f t="shared" si="5"/>
        <v>42</v>
      </c>
      <c r="C230" s="255" t="s">
        <v>841</v>
      </c>
      <c r="D230" s="438" t="s">
        <v>358</v>
      </c>
      <c r="E230" s="438" t="s">
        <v>334</v>
      </c>
      <c r="F230" s="438" t="s">
        <v>683</v>
      </c>
      <c r="G230" s="89">
        <v>58.58</v>
      </c>
      <c r="H230" s="89">
        <v>69.991383999999996</v>
      </c>
      <c r="I230" s="89">
        <v>58.58</v>
      </c>
      <c r="J230" s="89">
        <v>69.991383999999996</v>
      </c>
      <c r="K230" s="89" t="s">
        <v>825</v>
      </c>
    </row>
    <row r="231" spans="2:11" ht="14.65" customHeight="1">
      <c r="B231" s="437">
        <f t="shared" si="5"/>
        <v>43</v>
      </c>
      <c r="C231" s="255" t="s">
        <v>842</v>
      </c>
      <c r="D231" s="438" t="s">
        <v>358</v>
      </c>
      <c r="E231" s="438" t="s">
        <v>334</v>
      </c>
      <c r="F231" s="438" t="s">
        <v>683</v>
      </c>
      <c r="G231" s="89">
        <v>41.01</v>
      </c>
      <c r="H231" s="89">
        <v>48.998747999999999</v>
      </c>
      <c r="I231" s="89">
        <v>41.01</v>
      </c>
      <c r="J231" s="89">
        <v>48.998747999999999</v>
      </c>
      <c r="K231" s="89" t="s">
        <v>825</v>
      </c>
    </row>
    <row r="232" spans="2:11" ht="14.65" customHeight="1">
      <c r="B232" s="437">
        <f t="shared" si="5"/>
        <v>44</v>
      </c>
      <c r="C232" s="255" t="s">
        <v>843</v>
      </c>
      <c r="D232" s="438" t="s">
        <v>358</v>
      </c>
      <c r="E232" s="438" t="s">
        <v>334</v>
      </c>
      <c r="F232" s="438" t="s">
        <v>683</v>
      </c>
      <c r="G232" s="89">
        <v>125.54</v>
      </c>
      <c r="H232" s="89">
        <v>149.995192</v>
      </c>
      <c r="I232" s="89">
        <v>125.54</v>
      </c>
      <c r="J232" s="89">
        <v>149.995192</v>
      </c>
      <c r="K232" s="89" t="s">
        <v>825</v>
      </c>
    </row>
    <row r="233" spans="2:11" ht="14.65" customHeight="1">
      <c r="B233" s="437">
        <f t="shared" si="5"/>
        <v>45</v>
      </c>
      <c r="C233" s="255" t="s">
        <v>844</v>
      </c>
      <c r="D233" s="438" t="s">
        <v>359</v>
      </c>
      <c r="E233" s="438" t="s">
        <v>334</v>
      </c>
      <c r="F233" s="438" t="s">
        <v>683</v>
      </c>
      <c r="G233" s="89">
        <v>83.7</v>
      </c>
      <c r="H233" s="89">
        <v>100.00476</v>
      </c>
      <c r="I233" s="89">
        <v>83.7</v>
      </c>
      <c r="J233" s="89">
        <v>100.00476</v>
      </c>
      <c r="K233" s="89" t="s">
        <v>845</v>
      </c>
    </row>
    <row r="234" spans="2:11" ht="14.65" customHeight="1">
      <c r="B234" s="437">
        <f t="shared" si="5"/>
        <v>46</v>
      </c>
      <c r="C234" s="255" t="s">
        <v>728</v>
      </c>
      <c r="D234" s="438" t="s">
        <v>816</v>
      </c>
      <c r="E234" s="438" t="s">
        <v>334</v>
      </c>
      <c r="F234" s="438" t="s">
        <v>817</v>
      </c>
      <c r="G234" s="89">
        <v>1.48</v>
      </c>
      <c r="H234" s="89">
        <v>1.7683039999999999</v>
      </c>
      <c r="I234" s="89">
        <v>1.48</v>
      </c>
      <c r="J234" s="89">
        <v>1.7683039999999999</v>
      </c>
      <c r="K234" s="89"/>
    </row>
    <row r="235" spans="2:11" ht="14.25">
      <c r="B235" s="437">
        <f t="shared" si="5"/>
        <v>47</v>
      </c>
      <c r="C235" s="255" t="s">
        <v>723</v>
      </c>
      <c r="D235" s="438" t="s">
        <v>816</v>
      </c>
      <c r="E235" s="438" t="s">
        <v>334</v>
      </c>
      <c r="F235" s="438" t="s">
        <v>817</v>
      </c>
      <c r="G235" s="89">
        <v>4.57</v>
      </c>
      <c r="H235" s="89">
        <v>5.4602360000000001</v>
      </c>
      <c r="I235" s="89">
        <v>4.57</v>
      </c>
      <c r="J235" s="89">
        <v>5.4602360000000001</v>
      </c>
      <c r="K235" s="89"/>
    </row>
    <row r="236" spans="2:11" ht="14.25">
      <c r="B236" s="437">
        <f t="shared" si="5"/>
        <v>48</v>
      </c>
      <c r="C236" s="255" t="s">
        <v>724</v>
      </c>
      <c r="D236" s="438" t="s">
        <v>816</v>
      </c>
      <c r="E236" s="438" t="s">
        <v>334</v>
      </c>
      <c r="F236" s="438" t="s">
        <v>817</v>
      </c>
      <c r="G236" s="89">
        <v>4.57</v>
      </c>
      <c r="H236" s="89">
        <v>5.4602360000000001</v>
      </c>
      <c r="I236" s="89">
        <v>4.57</v>
      </c>
      <c r="J236" s="89">
        <v>5.4602360000000001</v>
      </c>
      <c r="K236" s="89"/>
    </row>
    <row r="237" spans="2:11" ht="14.25">
      <c r="B237" s="437">
        <f t="shared" si="5"/>
        <v>49</v>
      </c>
      <c r="C237" s="255" t="s">
        <v>725</v>
      </c>
      <c r="D237" s="438" t="s">
        <v>816</v>
      </c>
      <c r="E237" s="438" t="s">
        <v>334</v>
      </c>
      <c r="F237" s="438" t="s">
        <v>817</v>
      </c>
      <c r="G237" s="89">
        <v>5.71</v>
      </c>
      <c r="H237" s="89">
        <v>6.8223079999999996</v>
      </c>
      <c r="I237" s="89">
        <v>5.71</v>
      </c>
      <c r="J237" s="89">
        <v>6.8223079999999996</v>
      </c>
      <c r="K237" s="89"/>
    </row>
    <row r="238" spans="2:11" ht="14.25">
      <c r="B238" s="437">
        <f t="shared" si="5"/>
        <v>50</v>
      </c>
      <c r="C238" s="255" t="s">
        <v>730</v>
      </c>
      <c r="D238" s="438" t="s">
        <v>816</v>
      </c>
      <c r="E238" s="438" t="s">
        <v>334</v>
      </c>
      <c r="F238" s="438" t="s">
        <v>817</v>
      </c>
      <c r="G238" s="89">
        <v>4</v>
      </c>
      <c r="H238" s="89">
        <v>4.7791999999999994</v>
      </c>
      <c r="I238" s="89">
        <v>4</v>
      </c>
      <c r="J238" s="89">
        <v>4.7791999999999994</v>
      </c>
      <c r="K238" s="89"/>
    </row>
    <row r="239" spans="2:11" ht="14.25">
      <c r="B239" s="437">
        <f t="shared" si="5"/>
        <v>51</v>
      </c>
      <c r="C239" s="255" t="s">
        <v>727</v>
      </c>
      <c r="D239" s="438" t="s">
        <v>816</v>
      </c>
      <c r="E239" s="438" t="s">
        <v>334</v>
      </c>
      <c r="F239" s="438" t="s">
        <v>817</v>
      </c>
      <c r="G239" s="89">
        <v>9</v>
      </c>
      <c r="H239" s="89">
        <v>10.7532</v>
      </c>
      <c r="I239" s="89">
        <v>9</v>
      </c>
      <c r="J239" s="89">
        <v>10.7532</v>
      </c>
      <c r="K239" s="89"/>
    </row>
    <row r="240" spans="2:11" ht="14.25">
      <c r="B240" s="437">
        <f t="shared" si="5"/>
        <v>52</v>
      </c>
      <c r="C240" s="255" t="s">
        <v>726</v>
      </c>
      <c r="D240" s="438" t="s">
        <v>816</v>
      </c>
      <c r="E240" s="438" t="s">
        <v>334</v>
      </c>
      <c r="F240" s="438" t="s">
        <v>817</v>
      </c>
      <c r="G240" s="89">
        <v>8</v>
      </c>
      <c r="H240" s="89">
        <v>9.5583999999999989</v>
      </c>
      <c r="I240" s="89">
        <v>8</v>
      </c>
      <c r="J240" s="89">
        <v>9.5583999999999989</v>
      </c>
      <c r="K240" s="89"/>
    </row>
    <row r="241" spans="2:11" ht="14.25">
      <c r="B241" s="437">
        <f t="shared" si="5"/>
        <v>53</v>
      </c>
      <c r="C241" s="255" t="s">
        <v>729</v>
      </c>
      <c r="D241" s="438" t="s">
        <v>816</v>
      </c>
      <c r="E241" s="438" t="s">
        <v>334</v>
      </c>
      <c r="F241" s="438" t="s">
        <v>817</v>
      </c>
      <c r="G241" s="89">
        <v>10</v>
      </c>
      <c r="H241" s="89">
        <v>11.948</v>
      </c>
      <c r="I241" s="89">
        <v>10</v>
      </c>
      <c r="J241" s="89">
        <v>11.948</v>
      </c>
      <c r="K241" s="89"/>
    </row>
    <row r="242" spans="2:11" ht="14.25">
      <c r="B242" s="437">
        <f t="shared" si="5"/>
        <v>54</v>
      </c>
      <c r="C242" s="255" t="s">
        <v>721</v>
      </c>
      <c r="D242" s="438" t="s">
        <v>359</v>
      </c>
      <c r="E242" s="438" t="s">
        <v>334</v>
      </c>
      <c r="F242" s="438" t="s">
        <v>683</v>
      </c>
      <c r="G242" s="89">
        <v>200</v>
      </c>
      <c r="H242" s="89">
        <v>238.96</v>
      </c>
      <c r="I242" s="89">
        <v>200</v>
      </c>
      <c r="J242" s="89">
        <v>238.96</v>
      </c>
      <c r="K242" s="89"/>
    </row>
    <row r="243" spans="2:11" ht="14.25">
      <c r="B243" s="437">
        <f t="shared" si="5"/>
        <v>55</v>
      </c>
      <c r="C243" s="255" t="s">
        <v>722</v>
      </c>
      <c r="D243" s="438" t="s">
        <v>359</v>
      </c>
      <c r="E243" s="438" t="s">
        <v>334</v>
      </c>
      <c r="F243" s="438" t="s">
        <v>683</v>
      </c>
      <c r="G243" s="89">
        <v>500</v>
      </c>
      <c r="H243" s="89">
        <v>597.4</v>
      </c>
      <c r="I243" s="89">
        <v>500</v>
      </c>
      <c r="J243" s="89">
        <v>597.4</v>
      </c>
      <c r="K243" s="89"/>
    </row>
    <row r="244" spans="2:11" ht="14.25">
      <c r="B244" s="437">
        <f t="shared" si="5"/>
        <v>56</v>
      </c>
      <c r="C244" s="255" t="s">
        <v>846</v>
      </c>
      <c r="D244" s="438" t="s">
        <v>358</v>
      </c>
      <c r="E244" s="438" t="s">
        <v>334</v>
      </c>
      <c r="F244" s="438" t="s">
        <v>683</v>
      </c>
      <c r="G244" s="89">
        <v>290</v>
      </c>
      <c r="H244" s="89">
        <v>346.49199999999996</v>
      </c>
      <c r="I244" s="89">
        <v>290</v>
      </c>
      <c r="J244" s="89">
        <v>346.49199999999996</v>
      </c>
      <c r="K244" s="89" t="s">
        <v>847</v>
      </c>
    </row>
    <row r="245" spans="2:11" ht="14.25">
      <c r="B245" s="437">
        <f t="shared" si="5"/>
        <v>57</v>
      </c>
      <c r="C245" s="255" t="s">
        <v>848</v>
      </c>
      <c r="D245" s="438" t="s">
        <v>358</v>
      </c>
      <c r="E245" s="438" t="s">
        <v>334</v>
      </c>
      <c r="F245" s="438" t="s">
        <v>683</v>
      </c>
      <c r="G245" s="89">
        <v>420</v>
      </c>
      <c r="H245" s="89">
        <v>501.81599999999997</v>
      </c>
      <c r="I245" s="89">
        <v>420</v>
      </c>
      <c r="J245" s="89">
        <v>501.81599999999997</v>
      </c>
      <c r="K245" s="89" t="s">
        <v>847</v>
      </c>
    </row>
    <row r="246" spans="2:11" ht="14.25">
      <c r="B246" s="437">
        <f t="shared" si="5"/>
        <v>58</v>
      </c>
      <c r="C246" s="255" t="s">
        <v>849</v>
      </c>
      <c r="D246" s="438" t="s">
        <v>358</v>
      </c>
      <c r="E246" s="438" t="s">
        <v>334</v>
      </c>
      <c r="F246" s="438" t="s">
        <v>683</v>
      </c>
      <c r="G246" s="89">
        <v>540</v>
      </c>
      <c r="H246" s="89">
        <v>645.19200000000001</v>
      </c>
      <c r="I246" s="89">
        <v>540</v>
      </c>
      <c r="J246" s="89">
        <v>645.19200000000001</v>
      </c>
      <c r="K246" s="89" t="s">
        <v>847</v>
      </c>
    </row>
    <row r="247" spans="2:11" ht="14.25">
      <c r="B247" s="437">
        <f t="shared" si="5"/>
        <v>59</v>
      </c>
      <c r="C247" s="255" t="s">
        <v>719</v>
      </c>
      <c r="D247" s="438" t="s">
        <v>359</v>
      </c>
      <c r="E247" s="438" t="s">
        <v>334</v>
      </c>
      <c r="F247" s="438" t="s">
        <v>683</v>
      </c>
      <c r="G247" s="89">
        <v>450</v>
      </c>
      <c r="H247" s="89">
        <v>537.66</v>
      </c>
      <c r="I247" s="89">
        <v>450</v>
      </c>
      <c r="J247" s="89">
        <v>537.66</v>
      </c>
      <c r="K247" s="89"/>
    </row>
    <row r="248" spans="2:11" ht="14.25">
      <c r="B248" s="437">
        <f t="shared" si="5"/>
        <v>60</v>
      </c>
      <c r="C248" s="255" t="s">
        <v>720</v>
      </c>
      <c r="D248" s="438" t="s">
        <v>359</v>
      </c>
      <c r="E248" s="438" t="s">
        <v>334</v>
      </c>
      <c r="F248" s="438" t="s">
        <v>683</v>
      </c>
      <c r="G248" s="89">
        <v>798</v>
      </c>
      <c r="H248" s="89">
        <v>953.45039999999995</v>
      </c>
      <c r="I248" s="89">
        <v>798</v>
      </c>
      <c r="J248" s="89">
        <v>953.45039999999995</v>
      </c>
      <c r="K248" s="89"/>
    </row>
    <row r="249" spans="2:11" ht="14.25">
      <c r="B249" s="437">
        <f t="shared" si="5"/>
        <v>61</v>
      </c>
      <c r="C249" s="255" t="s">
        <v>718</v>
      </c>
      <c r="D249" s="438" t="s">
        <v>359</v>
      </c>
      <c r="E249" s="438" t="s">
        <v>334</v>
      </c>
      <c r="F249" s="438" t="s">
        <v>683</v>
      </c>
      <c r="G249" s="89">
        <v>1198</v>
      </c>
      <c r="H249" s="89">
        <v>1431.3703999999998</v>
      </c>
      <c r="I249" s="89">
        <v>1198</v>
      </c>
      <c r="J249" s="89">
        <v>1431.3703999999998</v>
      </c>
      <c r="K249" s="89"/>
    </row>
    <row r="250" spans="2:11" ht="14.25">
      <c r="B250" s="437">
        <f t="shared" si="5"/>
        <v>62</v>
      </c>
      <c r="C250" s="255" t="s">
        <v>850</v>
      </c>
      <c r="D250" s="438" t="s">
        <v>816</v>
      </c>
      <c r="E250" s="438" t="s">
        <v>334</v>
      </c>
      <c r="F250" s="438" t="s">
        <v>683</v>
      </c>
      <c r="G250" s="89">
        <v>100</v>
      </c>
      <c r="H250" s="89">
        <v>119.47999999999999</v>
      </c>
      <c r="I250" s="89">
        <v>100</v>
      </c>
      <c r="J250" s="89">
        <v>119.47999999999999</v>
      </c>
      <c r="K250" s="89" t="s">
        <v>851</v>
      </c>
    </row>
    <row r="251" spans="2:11" ht="14.25">
      <c r="B251" s="437">
        <f t="shared" si="5"/>
        <v>63</v>
      </c>
      <c r="C251" s="255" t="s">
        <v>852</v>
      </c>
      <c r="D251" s="438" t="s">
        <v>816</v>
      </c>
      <c r="E251" s="438" t="s">
        <v>334</v>
      </c>
      <c r="F251" s="438" t="s">
        <v>683</v>
      </c>
      <c r="G251" s="89">
        <v>150</v>
      </c>
      <c r="H251" s="89">
        <v>179.22</v>
      </c>
      <c r="I251" s="89">
        <v>150</v>
      </c>
      <c r="J251" s="89">
        <v>179.22</v>
      </c>
      <c r="K251" s="89" t="s">
        <v>851</v>
      </c>
    </row>
    <row r="252" spans="2:11" ht="14.25">
      <c r="B252" s="437">
        <f t="shared" si="5"/>
        <v>64</v>
      </c>
      <c r="C252" s="255" t="s">
        <v>853</v>
      </c>
      <c r="D252" s="438" t="s">
        <v>816</v>
      </c>
      <c r="E252" s="438" t="s">
        <v>334</v>
      </c>
      <c r="F252" s="438" t="s">
        <v>683</v>
      </c>
      <c r="G252" s="89">
        <v>300</v>
      </c>
      <c r="H252" s="89">
        <v>358.44</v>
      </c>
      <c r="I252" s="89">
        <v>300</v>
      </c>
      <c r="J252" s="89">
        <v>358.44</v>
      </c>
      <c r="K252" s="89" t="s">
        <v>851</v>
      </c>
    </row>
    <row r="253" spans="2:11" ht="14.25">
      <c r="B253" s="437">
        <f t="shared" si="5"/>
        <v>65</v>
      </c>
      <c r="C253" s="255" t="s">
        <v>854</v>
      </c>
      <c r="D253" s="438" t="s">
        <v>359</v>
      </c>
      <c r="E253" s="438" t="s">
        <v>334</v>
      </c>
      <c r="F253" s="438" t="s">
        <v>683</v>
      </c>
      <c r="G253" s="89">
        <v>149</v>
      </c>
      <c r="H253" s="89">
        <v>178.02519999999998</v>
      </c>
      <c r="I253" s="89">
        <v>149</v>
      </c>
      <c r="J253" s="89">
        <v>178.02519999999998</v>
      </c>
      <c r="K253" s="89" t="s">
        <v>855</v>
      </c>
    </row>
    <row r="254" spans="2:11" ht="14.25">
      <c r="B254" s="437">
        <f t="shared" si="5"/>
        <v>66</v>
      </c>
      <c r="C254" s="255" t="s">
        <v>746</v>
      </c>
      <c r="D254" s="438" t="s">
        <v>816</v>
      </c>
      <c r="E254" s="438" t="s">
        <v>798</v>
      </c>
      <c r="F254" s="438" t="s">
        <v>856</v>
      </c>
      <c r="G254" s="89">
        <v>25</v>
      </c>
      <c r="H254" s="89">
        <v>29</v>
      </c>
      <c r="I254" s="89">
        <v>25</v>
      </c>
      <c r="J254" s="89">
        <v>29</v>
      </c>
      <c r="K254" s="89" t="s">
        <v>857</v>
      </c>
    </row>
    <row r="255" spans="2:11" ht="14.25">
      <c r="B255" s="437">
        <f t="shared" ref="B255:B271" si="6">1+B254</f>
        <v>67</v>
      </c>
      <c r="C255" s="255" t="s">
        <v>747</v>
      </c>
      <c r="D255" s="438" t="s">
        <v>816</v>
      </c>
      <c r="E255" s="438" t="s">
        <v>798</v>
      </c>
      <c r="F255" s="438" t="s">
        <v>856</v>
      </c>
      <c r="G255" s="89">
        <v>102.59</v>
      </c>
      <c r="H255" s="89">
        <v>119</v>
      </c>
      <c r="I255" s="89">
        <v>102.59</v>
      </c>
      <c r="J255" s="89">
        <v>119</v>
      </c>
      <c r="K255" s="89" t="s">
        <v>857</v>
      </c>
    </row>
    <row r="256" spans="2:11" ht="14.25">
      <c r="B256" s="437">
        <f t="shared" si="6"/>
        <v>68</v>
      </c>
      <c r="C256" s="255" t="s">
        <v>748</v>
      </c>
      <c r="D256" s="438" t="s">
        <v>816</v>
      </c>
      <c r="E256" s="438" t="s">
        <v>798</v>
      </c>
      <c r="F256" s="438" t="s">
        <v>856</v>
      </c>
      <c r="G256" s="89">
        <v>180.17</v>
      </c>
      <c r="H256" s="89">
        <v>209</v>
      </c>
      <c r="I256" s="89">
        <v>180.17</v>
      </c>
      <c r="J256" s="89">
        <v>209</v>
      </c>
      <c r="K256" s="89" t="s">
        <v>857</v>
      </c>
    </row>
    <row r="257" spans="2:11" ht="14.25">
      <c r="B257" s="437">
        <f t="shared" si="6"/>
        <v>69</v>
      </c>
      <c r="C257" s="255" t="s">
        <v>749</v>
      </c>
      <c r="D257" s="438" t="s">
        <v>816</v>
      </c>
      <c r="E257" s="438" t="s">
        <v>798</v>
      </c>
      <c r="F257" s="438" t="s">
        <v>856</v>
      </c>
      <c r="G257" s="89">
        <v>42.24</v>
      </c>
      <c r="H257" s="89">
        <v>49</v>
      </c>
      <c r="I257" s="89">
        <v>42.24</v>
      </c>
      <c r="J257" s="89">
        <v>49</v>
      </c>
      <c r="K257" s="89" t="s">
        <v>857</v>
      </c>
    </row>
    <row r="258" spans="2:11" ht="14.25">
      <c r="B258" s="437">
        <f t="shared" si="6"/>
        <v>70</v>
      </c>
      <c r="C258" s="255" t="s">
        <v>750</v>
      </c>
      <c r="D258" s="438" t="s">
        <v>816</v>
      </c>
      <c r="E258" s="438" t="s">
        <v>798</v>
      </c>
      <c r="F258" s="438" t="s">
        <v>856</v>
      </c>
      <c r="G258" s="89">
        <v>128.44999999999999</v>
      </c>
      <c r="H258" s="89">
        <v>149</v>
      </c>
      <c r="I258" s="89">
        <v>128.44999999999999</v>
      </c>
      <c r="J258" s="89">
        <v>149</v>
      </c>
      <c r="K258" s="89" t="s">
        <v>857</v>
      </c>
    </row>
    <row r="259" spans="2:11" ht="14.25">
      <c r="B259" s="437">
        <f t="shared" si="6"/>
        <v>71</v>
      </c>
      <c r="C259" s="255" t="s">
        <v>751</v>
      </c>
      <c r="D259" s="438" t="s">
        <v>816</v>
      </c>
      <c r="E259" s="438" t="s">
        <v>798</v>
      </c>
      <c r="F259" s="438" t="s">
        <v>856</v>
      </c>
      <c r="G259" s="89">
        <v>257.76</v>
      </c>
      <c r="H259" s="89">
        <v>299</v>
      </c>
      <c r="I259" s="89">
        <v>257.76</v>
      </c>
      <c r="J259" s="89">
        <v>299</v>
      </c>
      <c r="K259" s="89" t="s">
        <v>857</v>
      </c>
    </row>
    <row r="260" spans="2:11" ht="14.25">
      <c r="B260" s="437">
        <f t="shared" si="6"/>
        <v>72</v>
      </c>
      <c r="C260" s="255" t="s">
        <v>752</v>
      </c>
      <c r="D260" s="438" t="s">
        <v>816</v>
      </c>
      <c r="E260" s="438" t="s">
        <v>798</v>
      </c>
      <c r="F260" s="438" t="s">
        <v>856</v>
      </c>
      <c r="G260" s="89">
        <v>52.59</v>
      </c>
      <c r="H260" s="89">
        <v>61</v>
      </c>
      <c r="I260" s="89">
        <v>52.59</v>
      </c>
      <c r="J260" s="89">
        <v>61</v>
      </c>
      <c r="K260" s="89" t="s">
        <v>858</v>
      </c>
    </row>
    <row r="261" spans="2:11" ht="14.25">
      <c r="B261" s="437">
        <f t="shared" si="6"/>
        <v>73</v>
      </c>
      <c r="C261" s="255" t="s">
        <v>753</v>
      </c>
      <c r="D261" s="438" t="s">
        <v>816</v>
      </c>
      <c r="E261" s="438" t="s">
        <v>798</v>
      </c>
      <c r="F261" s="438" t="s">
        <v>856</v>
      </c>
      <c r="G261" s="89">
        <v>171.55</v>
      </c>
      <c r="H261" s="89">
        <v>199</v>
      </c>
      <c r="I261" s="89">
        <v>171.55</v>
      </c>
      <c r="J261" s="89">
        <v>199</v>
      </c>
      <c r="K261" s="89" t="s">
        <v>858</v>
      </c>
    </row>
    <row r="262" spans="2:11" ht="14.25">
      <c r="B262" s="437">
        <f t="shared" si="6"/>
        <v>74</v>
      </c>
      <c r="C262" s="255" t="s">
        <v>754</v>
      </c>
      <c r="D262" s="438" t="s">
        <v>816</v>
      </c>
      <c r="E262" s="438" t="s">
        <v>798</v>
      </c>
      <c r="F262" s="438" t="s">
        <v>856</v>
      </c>
      <c r="G262" s="89">
        <v>343.97</v>
      </c>
      <c r="H262" s="89">
        <v>399</v>
      </c>
      <c r="I262" s="89">
        <v>343.97</v>
      </c>
      <c r="J262" s="89">
        <v>399</v>
      </c>
      <c r="K262" s="89" t="s">
        <v>858</v>
      </c>
    </row>
    <row r="263" spans="2:11" ht="14.25">
      <c r="B263" s="437">
        <f t="shared" si="6"/>
        <v>75</v>
      </c>
      <c r="C263" s="255" t="s">
        <v>859</v>
      </c>
      <c r="D263" s="438" t="s">
        <v>358</v>
      </c>
      <c r="E263" s="438" t="s">
        <v>798</v>
      </c>
      <c r="F263" s="438" t="s">
        <v>856</v>
      </c>
      <c r="G263" s="89">
        <v>25</v>
      </c>
      <c r="H263" s="89">
        <v>29</v>
      </c>
      <c r="I263" s="89">
        <v>25</v>
      </c>
      <c r="J263" s="89">
        <v>29</v>
      </c>
      <c r="K263" s="89" t="s">
        <v>860</v>
      </c>
    </row>
    <row r="264" spans="2:11" ht="14.25">
      <c r="B264" s="437">
        <f t="shared" si="6"/>
        <v>76</v>
      </c>
      <c r="C264" s="255" t="s">
        <v>861</v>
      </c>
      <c r="D264" s="438" t="s">
        <v>358</v>
      </c>
      <c r="E264" s="438" t="s">
        <v>798</v>
      </c>
      <c r="F264" s="438" t="s">
        <v>856</v>
      </c>
      <c r="G264" s="89">
        <v>102.59</v>
      </c>
      <c r="H264" s="89">
        <v>119</v>
      </c>
      <c r="I264" s="89">
        <v>102.59</v>
      </c>
      <c r="J264" s="89">
        <v>119</v>
      </c>
      <c r="K264" s="89" t="s">
        <v>860</v>
      </c>
    </row>
    <row r="265" spans="2:11" ht="14.25">
      <c r="B265" s="437">
        <f t="shared" si="6"/>
        <v>77</v>
      </c>
      <c r="C265" s="255" t="s">
        <v>862</v>
      </c>
      <c r="D265" s="438" t="s">
        <v>358</v>
      </c>
      <c r="E265" s="438" t="s">
        <v>798</v>
      </c>
      <c r="F265" s="438" t="s">
        <v>856</v>
      </c>
      <c r="G265" s="89">
        <v>180.17</v>
      </c>
      <c r="H265" s="89">
        <v>209</v>
      </c>
      <c r="I265" s="89">
        <v>180.17</v>
      </c>
      <c r="J265" s="89">
        <v>209</v>
      </c>
      <c r="K265" s="89" t="s">
        <v>860</v>
      </c>
    </row>
    <row r="266" spans="2:11" ht="14.25">
      <c r="B266" s="437">
        <f t="shared" si="6"/>
        <v>78</v>
      </c>
      <c r="C266" s="255" t="s">
        <v>863</v>
      </c>
      <c r="D266" s="438" t="s">
        <v>358</v>
      </c>
      <c r="E266" s="438" t="s">
        <v>798</v>
      </c>
      <c r="F266" s="438" t="s">
        <v>856</v>
      </c>
      <c r="G266" s="89">
        <v>42.24</v>
      </c>
      <c r="H266" s="89">
        <v>49</v>
      </c>
      <c r="I266" s="89">
        <v>42.24</v>
      </c>
      <c r="J266" s="89">
        <v>49</v>
      </c>
      <c r="K266" s="89" t="s">
        <v>860</v>
      </c>
    </row>
    <row r="267" spans="2:11" ht="14.25">
      <c r="B267" s="437">
        <f t="shared" si="6"/>
        <v>79</v>
      </c>
      <c r="C267" s="255" t="s">
        <v>864</v>
      </c>
      <c r="D267" s="438" t="s">
        <v>358</v>
      </c>
      <c r="E267" s="438" t="s">
        <v>798</v>
      </c>
      <c r="F267" s="438" t="s">
        <v>856</v>
      </c>
      <c r="G267" s="89">
        <v>128.44999999999999</v>
      </c>
      <c r="H267" s="89">
        <v>149</v>
      </c>
      <c r="I267" s="89">
        <v>128.44999999999999</v>
      </c>
      <c r="J267" s="89">
        <v>149</v>
      </c>
      <c r="K267" s="89" t="s">
        <v>860</v>
      </c>
    </row>
    <row r="268" spans="2:11" ht="14.25">
      <c r="B268" s="437">
        <f t="shared" si="6"/>
        <v>80</v>
      </c>
      <c r="C268" s="255" t="s">
        <v>865</v>
      </c>
      <c r="D268" s="438" t="s">
        <v>358</v>
      </c>
      <c r="E268" s="438" t="s">
        <v>798</v>
      </c>
      <c r="F268" s="438" t="s">
        <v>856</v>
      </c>
      <c r="G268" s="89">
        <v>257.76</v>
      </c>
      <c r="H268" s="89">
        <v>299</v>
      </c>
      <c r="I268" s="89">
        <v>257.76</v>
      </c>
      <c r="J268" s="89">
        <v>299</v>
      </c>
      <c r="K268" s="89" t="s">
        <v>860</v>
      </c>
    </row>
    <row r="269" spans="2:11" ht="14.25">
      <c r="B269" s="437">
        <f t="shared" si="6"/>
        <v>81</v>
      </c>
      <c r="C269" s="255" t="s">
        <v>866</v>
      </c>
      <c r="D269" s="438" t="s">
        <v>358</v>
      </c>
      <c r="E269" s="438" t="s">
        <v>798</v>
      </c>
      <c r="F269" s="438" t="s">
        <v>856</v>
      </c>
      <c r="G269" s="89">
        <v>52.59</v>
      </c>
      <c r="H269" s="89">
        <v>61</v>
      </c>
      <c r="I269" s="89">
        <v>52.59</v>
      </c>
      <c r="J269" s="89">
        <v>61</v>
      </c>
      <c r="K269" s="89" t="s">
        <v>867</v>
      </c>
    </row>
    <row r="270" spans="2:11" ht="14.25">
      <c r="B270" s="437">
        <f t="shared" si="6"/>
        <v>82</v>
      </c>
      <c r="C270" s="255" t="s">
        <v>868</v>
      </c>
      <c r="D270" s="438" t="s">
        <v>358</v>
      </c>
      <c r="E270" s="438" t="s">
        <v>798</v>
      </c>
      <c r="F270" s="438" t="s">
        <v>856</v>
      </c>
      <c r="G270" s="89">
        <v>171.55</v>
      </c>
      <c r="H270" s="89">
        <v>199</v>
      </c>
      <c r="I270" s="89">
        <v>171.55</v>
      </c>
      <c r="J270" s="89">
        <v>199</v>
      </c>
      <c r="K270" s="89" t="s">
        <v>867</v>
      </c>
    </row>
    <row r="271" spans="2:11" ht="14.25">
      <c r="B271" s="437">
        <f t="shared" si="6"/>
        <v>83</v>
      </c>
      <c r="C271" s="255" t="s">
        <v>869</v>
      </c>
      <c r="D271" s="438" t="s">
        <v>358</v>
      </c>
      <c r="E271" s="438" t="s">
        <v>798</v>
      </c>
      <c r="F271" s="438" t="s">
        <v>856</v>
      </c>
      <c r="G271" s="89">
        <v>343.97</v>
      </c>
      <c r="H271" s="89">
        <v>399</v>
      </c>
      <c r="I271" s="89">
        <v>343.97</v>
      </c>
      <c r="J271" s="89">
        <v>399</v>
      </c>
      <c r="K271" s="89" t="s">
        <v>867</v>
      </c>
    </row>
    <row r="272" spans="2:11" ht="12">
      <c r="C272" s="125" t="s">
        <v>870</v>
      </c>
      <c r="D272" s="98"/>
      <c r="E272" s="98"/>
    </row>
    <row r="273" spans="1:76" ht="12">
      <c r="C273" t="s">
        <v>805</v>
      </c>
    </row>
    <row r="274" spans="1:76" ht="12">
      <c r="C274" s="251" t="s">
        <v>806</v>
      </c>
    </row>
    <row r="275" spans="1:76" ht="12">
      <c r="C275" s="251"/>
    </row>
    <row r="276" spans="1:76" ht="15.75">
      <c r="A276" s="570">
        <f>1+A2</f>
        <v>2</v>
      </c>
      <c r="B276" s="425" t="s">
        <v>871</v>
      </c>
      <c r="C276" s="425"/>
      <c r="D276" s="426"/>
      <c r="E276" s="426"/>
      <c r="F276" s="426"/>
      <c r="G276" s="426"/>
      <c r="H276" s="426"/>
      <c r="I276" s="426"/>
      <c r="J276" s="426"/>
      <c r="K276" s="426"/>
      <c r="L276" s="426"/>
      <c r="M276" s="426"/>
      <c r="N276" s="426"/>
      <c r="O276" s="426"/>
      <c r="P276" s="426"/>
      <c r="Q276" s="426"/>
      <c r="R276" s="426"/>
      <c r="S276" s="426"/>
      <c r="T276" s="426"/>
      <c r="U276" s="426"/>
      <c r="V276" s="426"/>
      <c r="W276" s="426"/>
      <c r="X276" s="426"/>
      <c r="Y276" s="426"/>
      <c r="Z276" s="426"/>
      <c r="AA276" s="426"/>
      <c r="AB276" s="426"/>
      <c r="AC276" s="426"/>
      <c r="AD276" s="426"/>
      <c r="AE276" s="426"/>
      <c r="AF276" s="426"/>
      <c r="AG276" s="426"/>
      <c r="AH276" s="426"/>
      <c r="AI276" s="426"/>
      <c r="AJ276" s="426"/>
      <c r="AK276" s="426"/>
      <c r="AL276" s="426"/>
      <c r="AM276" s="426"/>
      <c r="AN276" s="426"/>
      <c r="AO276" s="426"/>
      <c r="AP276" s="426"/>
      <c r="AQ276" s="426"/>
      <c r="AR276" s="426"/>
      <c r="AS276" s="426"/>
      <c r="AT276" s="426"/>
      <c r="AU276" s="426"/>
      <c r="AV276" s="426"/>
      <c r="AW276" s="426"/>
      <c r="AX276" s="426"/>
      <c r="AY276" s="426"/>
      <c r="AZ276" s="426"/>
      <c r="BA276" s="426"/>
      <c r="BB276" s="426"/>
      <c r="BC276" s="426"/>
      <c r="BD276" s="426"/>
      <c r="BE276" s="426"/>
      <c r="BF276" s="426"/>
      <c r="BG276" s="426"/>
      <c r="BH276" s="426"/>
      <c r="BI276" s="426"/>
      <c r="BJ276" s="426"/>
      <c r="BK276" s="426"/>
      <c r="BL276" s="426"/>
      <c r="BM276" s="426"/>
      <c r="BN276" s="426"/>
      <c r="BO276" s="426"/>
      <c r="BP276" s="426"/>
      <c r="BQ276" s="426"/>
      <c r="BR276" s="426"/>
      <c r="BS276" s="426"/>
      <c r="BT276" s="426"/>
      <c r="BU276" s="426"/>
      <c r="BV276" s="426"/>
      <c r="BW276" s="426"/>
      <c r="BX276" s="426"/>
    </row>
    <row r="277" spans="1:76" ht="12">
      <c r="C277" s="251"/>
      <c r="D277" s="251"/>
      <c r="E277" s="251"/>
    </row>
    <row r="278" spans="1:76" ht="14.25">
      <c r="B278" s="437"/>
      <c r="C278" s="251"/>
      <c r="D278" s="251"/>
      <c r="E278" s="251"/>
    </row>
    <row r="279" spans="1:76" ht="15.75">
      <c r="B279" s="437"/>
      <c r="C279" s="9" t="s">
        <v>872</v>
      </c>
    </row>
    <row r="280" spans="1:76" ht="14.25">
      <c r="B280" s="437"/>
    </row>
    <row r="281" spans="1:76" ht="15.75">
      <c r="B281" s="437"/>
      <c r="C281" s="9" t="s">
        <v>873</v>
      </c>
    </row>
    <row r="282" spans="1:76" ht="14.25">
      <c r="B282" s="437"/>
      <c r="C282" s="451" t="s">
        <v>874</v>
      </c>
      <c r="D282" s="452"/>
      <c r="E282" s="452"/>
      <c r="F282" s="452"/>
      <c r="G282" s="453"/>
    </row>
    <row r="283" spans="1:76" ht="14.25">
      <c r="B283" s="437"/>
      <c r="C283" s="451" t="s">
        <v>875</v>
      </c>
      <c r="D283" s="452"/>
      <c r="E283" s="452"/>
      <c r="F283" s="452"/>
      <c r="G283" s="453"/>
    </row>
    <row r="284" spans="1:76" ht="14.25">
      <c r="B284" s="437"/>
      <c r="C284" s="451" t="s">
        <v>876</v>
      </c>
      <c r="D284" s="452"/>
      <c r="E284" s="452"/>
      <c r="F284" s="452"/>
      <c r="G284" s="453"/>
    </row>
    <row r="285" spans="1:76" ht="14.25">
      <c r="B285" s="437"/>
    </row>
    <row r="286" spans="1:76" ht="20.25">
      <c r="B286" s="437"/>
      <c r="C286" s="96" t="s">
        <v>877</v>
      </c>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row>
    <row r="287" spans="1:76" ht="23.25">
      <c r="B287" s="437"/>
      <c r="C287" s="427">
        <v>2023</v>
      </c>
      <c r="F287" s="455"/>
      <c r="G287" s="455"/>
      <c r="H287" s="455"/>
      <c r="I287" s="455"/>
      <c r="J287" s="455"/>
      <c r="K287" s="455"/>
      <c r="L287" s="455"/>
      <c r="M287" s="455"/>
      <c r="N287" s="455"/>
      <c r="O287" s="455"/>
      <c r="P287" s="455"/>
      <c r="Q287" s="455"/>
      <c r="R287" s="455"/>
      <c r="S287" s="455"/>
      <c r="T287" s="455"/>
      <c r="U287" s="455"/>
      <c r="V287" s="455"/>
      <c r="W287" s="455"/>
      <c r="X287" s="455"/>
      <c r="Y287" s="455"/>
      <c r="Z287" s="455"/>
      <c r="AA287" s="455"/>
      <c r="AB287" s="455"/>
      <c r="AC287" s="455"/>
      <c r="AD287" s="455"/>
      <c r="AE287" s="455"/>
      <c r="AF287" s="455"/>
      <c r="AG287" s="455"/>
      <c r="AH287" s="455"/>
      <c r="AI287" s="455"/>
      <c r="AJ287" s="455"/>
      <c r="AK287" s="455"/>
      <c r="AL287" s="455"/>
      <c r="AM287" s="455"/>
      <c r="AN287" s="455"/>
      <c r="AS287" s="456"/>
      <c r="AT287" s="457"/>
      <c r="AU287" s="457"/>
      <c r="AV287" s="457"/>
      <c r="AW287" s="457"/>
      <c r="AX287" s="457"/>
      <c r="AY287" s="457"/>
      <c r="AZ287" s="457"/>
      <c r="BA287" s="457"/>
      <c r="BB287" s="457"/>
      <c r="BC287" s="457"/>
      <c r="BD287" s="457"/>
      <c r="BE287" s="457"/>
      <c r="BF287" s="457"/>
      <c r="BG287" s="457"/>
      <c r="BH287" s="457"/>
      <c r="BI287" s="457"/>
      <c r="BJ287" s="457"/>
      <c r="BK287" s="457"/>
      <c r="BL287" s="457"/>
      <c r="BM287" s="457"/>
      <c r="BN287" s="457"/>
      <c r="BO287" s="457"/>
      <c r="BP287" s="457"/>
    </row>
    <row r="288" spans="1:76" ht="21" thickBot="1">
      <c r="B288" s="437"/>
      <c r="C288" s="266"/>
      <c r="F288" s="458" t="s">
        <v>878</v>
      </c>
      <c r="G288" s="459"/>
      <c r="H288" s="459"/>
      <c r="I288" s="459"/>
      <c r="J288" s="459"/>
      <c r="K288" s="459"/>
      <c r="L288" s="459"/>
      <c r="M288" s="459"/>
      <c r="N288" s="459"/>
      <c r="O288" s="459"/>
      <c r="P288" s="459"/>
      <c r="Q288" s="459"/>
      <c r="R288" s="459"/>
      <c r="S288" s="459"/>
      <c r="T288" s="459"/>
      <c r="U288" s="459"/>
      <c r="V288" s="459"/>
      <c r="W288" s="459"/>
      <c r="X288" s="459"/>
      <c r="Y288" s="459"/>
      <c r="Z288" s="459"/>
      <c r="AA288" s="459"/>
      <c r="AB288" s="459"/>
      <c r="AC288" s="459"/>
      <c r="AD288" s="459"/>
      <c r="AE288" s="459"/>
      <c r="AF288" s="459"/>
      <c r="AG288" s="459"/>
      <c r="AH288" s="459"/>
      <c r="AI288" s="459"/>
      <c r="AJ288" s="459"/>
      <c r="AK288" s="459"/>
      <c r="AL288" s="459"/>
      <c r="AM288" s="459"/>
      <c r="AN288" s="459"/>
      <c r="AO288" s="459"/>
      <c r="AP288" s="459"/>
      <c r="AQ288" s="459"/>
      <c r="AR288" s="459"/>
      <c r="AS288" s="459"/>
      <c r="AT288" s="459"/>
      <c r="AU288" s="459"/>
      <c r="AV288" s="459"/>
      <c r="AW288" s="459"/>
      <c r="AX288" s="459"/>
      <c r="AY288" s="459"/>
      <c r="AZ288" s="459"/>
      <c r="BA288" s="523"/>
      <c r="BB288" s="523"/>
      <c r="BC288" s="523"/>
      <c r="BD288" s="523"/>
      <c r="BE288" s="523"/>
      <c r="BF288" s="523"/>
      <c r="BG288" s="523"/>
      <c r="BH288" s="523"/>
      <c r="BI288" s="523"/>
      <c r="BJ288" s="523"/>
      <c r="BK288" s="523"/>
      <c r="BL288" s="523"/>
      <c r="BM288" s="523"/>
      <c r="BN288" s="460"/>
      <c r="BO288" s="460"/>
      <c r="BP288" s="460"/>
      <c r="BQ288" s="460"/>
      <c r="BR288" s="460"/>
    </row>
    <row r="289" spans="2:70" ht="30.4" customHeight="1" thickBot="1">
      <c r="B289" s="437"/>
      <c r="C289" s="266"/>
      <c r="F289" s="461" t="s">
        <v>879</v>
      </c>
      <c r="G289" s="462"/>
      <c r="H289" s="524" t="s">
        <v>880</v>
      </c>
      <c r="I289" s="531"/>
      <c r="J289" s="524" t="s">
        <v>609</v>
      </c>
      <c r="K289" s="525"/>
      <c r="L289" s="531"/>
      <c r="M289" s="532" t="s">
        <v>881</v>
      </c>
      <c r="N289" s="533"/>
      <c r="O289" s="532" t="s">
        <v>882</v>
      </c>
      <c r="P289" s="533"/>
      <c r="Q289" s="533"/>
      <c r="R289" s="533"/>
      <c r="S289" s="533"/>
      <c r="T289" s="533"/>
      <c r="U289" s="524" t="s">
        <v>883</v>
      </c>
      <c r="V289" s="525"/>
      <c r="W289" s="531"/>
      <c r="X289" s="524" t="s">
        <v>884</v>
      </c>
      <c r="Y289" s="525"/>
      <c r="Z289" s="525"/>
      <c r="AA289" s="525"/>
      <c r="AB289" s="525"/>
      <c r="AC289" s="525"/>
      <c r="AD289" s="525"/>
      <c r="AE289" s="525"/>
      <c r="AF289" s="525"/>
      <c r="AG289" s="463" t="s">
        <v>885</v>
      </c>
      <c r="AH289" s="464"/>
      <c r="AI289" s="464"/>
      <c r="AJ289" s="464"/>
      <c r="AK289" s="464"/>
      <c r="AL289" s="464"/>
      <c r="AM289" s="464"/>
      <c r="AN289" s="464"/>
      <c r="AO289" s="464"/>
      <c r="AP289" s="464"/>
      <c r="AQ289" s="464"/>
      <c r="AR289" s="464"/>
      <c r="AS289" s="464"/>
      <c r="AT289" s="464"/>
      <c r="AU289" s="464"/>
      <c r="AV289" s="465"/>
      <c r="AW289" s="540" t="s">
        <v>886</v>
      </c>
      <c r="AX289" s="540"/>
      <c r="AY289" s="540"/>
      <c r="AZ289" s="541"/>
      <c r="BA289" s="542" t="s">
        <v>887</v>
      </c>
      <c r="BB289" s="542"/>
      <c r="BC289" s="543"/>
      <c r="BD289" s="534" t="s">
        <v>888</v>
      </c>
      <c r="BE289" s="535"/>
      <c r="BF289" s="535"/>
      <c r="BG289" s="535"/>
      <c r="BH289" s="535"/>
      <c r="BI289" s="535"/>
      <c r="BJ289" s="535"/>
      <c r="BK289" s="536"/>
      <c r="BL289" s="537" t="s">
        <v>889</v>
      </c>
      <c r="BM289" s="538"/>
      <c r="BN289" s="538"/>
      <c r="BO289" s="538"/>
      <c r="BP289" s="538"/>
      <c r="BQ289" s="538"/>
      <c r="BR289" s="538"/>
    </row>
    <row r="290" spans="2:70" ht="48">
      <c r="B290" s="466"/>
      <c r="C290" s="467" t="s">
        <v>461</v>
      </c>
      <c r="D290" s="467" t="s">
        <v>462</v>
      </c>
      <c r="E290" s="467" t="s">
        <v>463</v>
      </c>
      <c r="F290" s="468" t="s">
        <v>762</v>
      </c>
      <c r="G290" s="468" t="s">
        <v>763</v>
      </c>
      <c r="H290" s="468" t="s">
        <v>890</v>
      </c>
      <c r="I290" s="468" t="s">
        <v>891</v>
      </c>
      <c r="J290" s="468" t="s">
        <v>892</v>
      </c>
      <c r="K290" s="469" t="s">
        <v>893</v>
      </c>
      <c r="L290" s="469" t="s">
        <v>894</v>
      </c>
      <c r="M290" s="470" t="s">
        <v>895</v>
      </c>
      <c r="N290" s="469" t="s">
        <v>896</v>
      </c>
      <c r="O290" s="467" t="s">
        <v>390</v>
      </c>
      <c r="P290" s="468" t="s">
        <v>396</v>
      </c>
      <c r="Q290" s="467" t="s">
        <v>897</v>
      </c>
      <c r="R290" s="468" t="s">
        <v>898</v>
      </c>
      <c r="S290" s="467" t="s">
        <v>899</v>
      </c>
      <c r="T290" s="468" t="s">
        <v>900</v>
      </c>
      <c r="U290" s="468" t="s">
        <v>901</v>
      </c>
      <c r="V290" s="468" t="s">
        <v>902</v>
      </c>
      <c r="W290" s="468" t="s">
        <v>903</v>
      </c>
      <c r="X290" s="468" t="s">
        <v>904</v>
      </c>
      <c r="Y290" s="468" t="s">
        <v>902</v>
      </c>
      <c r="Z290" s="468" t="s">
        <v>905</v>
      </c>
      <c r="AA290" s="468" t="s">
        <v>906</v>
      </c>
      <c r="AB290" s="468" t="s">
        <v>902</v>
      </c>
      <c r="AC290" s="468" t="s">
        <v>599</v>
      </c>
      <c r="AD290" s="468" t="s">
        <v>907</v>
      </c>
      <c r="AE290" s="468" t="s">
        <v>902</v>
      </c>
      <c r="AF290" s="468" t="s">
        <v>908</v>
      </c>
      <c r="AG290" s="468" t="s">
        <v>909</v>
      </c>
      <c r="AH290" s="468" t="s">
        <v>910</v>
      </c>
      <c r="AI290" s="468" t="s">
        <v>911</v>
      </c>
      <c r="AJ290" s="468" t="s">
        <v>912</v>
      </c>
      <c r="AK290" s="468" t="s">
        <v>913</v>
      </c>
      <c r="AL290" s="468" t="s">
        <v>914</v>
      </c>
      <c r="AM290" s="468" t="s">
        <v>915</v>
      </c>
      <c r="AN290" s="467" t="s">
        <v>916</v>
      </c>
      <c r="AO290" s="467" t="s">
        <v>917</v>
      </c>
      <c r="AP290" s="467" t="s">
        <v>918</v>
      </c>
      <c r="AQ290" s="467" t="s">
        <v>919</v>
      </c>
      <c r="AR290" s="467" t="s">
        <v>920</v>
      </c>
      <c r="AS290" s="467" t="s">
        <v>921</v>
      </c>
      <c r="AT290" s="467" t="s">
        <v>922</v>
      </c>
      <c r="AU290" s="468" t="s">
        <v>923</v>
      </c>
      <c r="AV290" s="468" t="s">
        <v>924</v>
      </c>
      <c r="AW290" s="468" t="s">
        <v>925</v>
      </c>
      <c r="AX290" s="468" t="s">
        <v>926</v>
      </c>
      <c r="AY290" s="468" t="s">
        <v>927</v>
      </c>
      <c r="AZ290" s="471" t="s">
        <v>928</v>
      </c>
      <c r="BA290" s="472" t="s">
        <v>929</v>
      </c>
      <c r="BB290" s="467" t="s">
        <v>930</v>
      </c>
      <c r="BC290" s="472" t="s">
        <v>931</v>
      </c>
      <c r="BD290" s="472" t="s">
        <v>768</v>
      </c>
      <c r="BE290" s="473" t="s">
        <v>932</v>
      </c>
      <c r="BF290" s="473" t="s">
        <v>933</v>
      </c>
      <c r="BG290" s="473" t="s">
        <v>934</v>
      </c>
      <c r="BH290" s="473" t="s">
        <v>935</v>
      </c>
      <c r="BI290" s="474" t="s">
        <v>936</v>
      </c>
      <c r="BJ290" s="434" t="s">
        <v>937</v>
      </c>
      <c r="BK290" s="473" t="s">
        <v>938</v>
      </c>
      <c r="BL290" s="473" t="s">
        <v>939</v>
      </c>
      <c r="BM290" s="474" t="s">
        <v>940</v>
      </c>
      <c r="BN290" s="474" t="s">
        <v>941</v>
      </c>
      <c r="BO290" s="473" t="s">
        <v>942</v>
      </c>
      <c r="BP290" s="474" t="s">
        <v>943</v>
      </c>
      <c r="BQ290" s="474" t="s">
        <v>944</v>
      </c>
      <c r="BR290" s="474" t="s">
        <v>945</v>
      </c>
    </row>
    <row r="291" spans="2:70" ht="14.25">
      <c r="B291" s="437">
        <v>1</v>
      </c>
      <c r="C291" s="255" t="s">
        <v>166</v>
      </c>
      <c r="D291" s="438" t="s">
        <v>358</v>
      </c>
      <c r="E291" s="438" t="s">
        <v>796</v>
      </c>
      <c r="F291" s="89">
        <v>210.24</v>
      </c>
      <c r="G291" s="443">
        <v>249</v>
      </c>
      <c r="H291" s="89">
        <v>1</v>
      </c>
      <c r="I291" s="89">
        <v>100</v>
      </c>
      <c r="J291" s="89"/>
      <c r="K291" s="89"/>
      <c r="L291" s="89"/>
      <c r="M291" s="89"/>
      <c r="N291" s="89"/>
      <c r="O291" s="89" t="s">
        <v>946</v>
      </c>
      <c r="P291" s="89" t="s">
        <v>947</v>
      </c>
      <c r="Q291" s="475" t="s">
        <v>797</v>
      </c>
      <c r="R291" s="89"/>
      <c r="S291" s="89"/>
      <c r="T291" s="89"/>
      <c r="U291" s="89" t="s">
        <v>797</v>
      </c>
      <c r="V291" s="89"/>
      <c r="W291" s="89"/>
      <c r="X291" s="89" t="s">
        <v>948</v>
      </c>
      <c r="Y291" s="89"/>
      <c r="Z291" s="89"/>
      <c r="AA291" s="89" t="s">
        <v>797</v>
      </c>
      <c r="AB291" s="89"/>
      <c r="AC291" s="89"/>
      <c r="AD291" s="89" t="s">
        <v>797</v>
      </c>
      <c r="AE291" s="89"/>
      <c r="AF291" s="89"/>
      <c r="AG291" s="89" t="s">
        <v>949</v>
      </c>
      <c r="AH291" s="89"/>
      <c r="AI291" s="89"/>
      <c r="AJ291" s="89"/>
      <c r="AK291" s="89"/>
      <c r="AL291" s="89"/>
      <c r="AM291" s="89"/>
      <c r="AN291" s="89"/>
      <c r="AO291" s="89"/>
      <c r="AP291" s="89"/>
      <c r="AQ291" s="89"/>
      <c r="AR291" s="89"/>
      <c r="AS291" s="89"/>
      <c r="AT291" s="89"/>
      <c r="AU291" s="89"/>
      <c r="AV291" s="89"/>
      <c r="AW291" s="89">
        <v>1.48</v>
      </c>
      <c r="AX291" s="89"/>
      <c r="AY291" s="89"/>
      <c r="AZ291" s="89"/>
      <c r="BA291" s="89" t="s">
        <v>797</v>
      </c>
      <c r="BB291" s="441"/>
      <c r="BC291" s="441" t="s">
        <v>948</v>
      </c>
      <c r="BD291" s="89" t="s">
        <v>797</v>
      </c>
      <c r="BE291" s="89" t="s">
        <v>948</v>
      </c>
      <c r="BF291" s="441">
        <v>0</v>
      </c>
      <c r="BG291" s="441">
        <v>0</v>
      </c>
      <c r="BH291" s="441">
        <v>0</v>
      </c>
      <c r="BI291" s="441">
        <v>0</v>
      </c>
      <c r="BJ291" s="441">
        <v>0</v>
      </c>
      <c r="BK291" s="441" t="s">
        <v>797</v>
      </c>
      <c r="BL291" s="89" t="s">
        <v>797</v>
      </c>
      <c r="BM291" s="441"/>
      <c r="BN291" s="441"/>
      <c r="BO291" s="89" t="s">
        <v>797</v>
      </c>
      <c r="BP291" s="441"/>
      <c r="BQ291" s="441"/>
      <c r="BR291" s="441"/>
    </row>
    <row r="292" spans="2:70" ht="14.25">
      <c r="B292" s="437">
        <f t="shared" ref="B292:B355" si="7">1+B291</f>
        <v>2</v>
      </c>
      <c r="C292" s="255" t="s">
        <v>169</v>
      </c>
      <c r="D292" s="438" t="s">
        <v>358</v>
      </c>
      <c r="E292" s="438" t="s">
        <v>796</v>
      </c>
      <c r="F292" s="89">
        <v>244.01</v>
      </c>
      <c r="G292" s="443">
        <v>289</v>
      </c>
      <c r="H292" s="89">
        <v>1</v>
      </c>
      <c r="I292" s="89">
        <v>200</v>
      </c>
      <c r="J292" s="89"/>
      <c r="K292" s="89"/>
      <c r="L292" s="89"/>
      <c r="M292" s="89"/>
      <c r="N292" s="89"/>
      <c r="O292" s="89" t="s">
        <v>946</v>
      </c>
      <c r="P292" s="89" t="s">
        <v>947</v>
      </c>
      <c r="Q292" s="475" t="s">
        <v>797</v>
      </c>
      <c r="R292" s="89"/>
      <c r="S292" s="89"/>
      <c r="T292" s="89"/>
      <c r="U292" s="89" t="s">
        <v>797</v>
      </c>
      <c r="V292" s="89"/>
      <c r="W292" s="89"/>
      <c r="X292" s="89" t="s">
        <v>948</v>
      </c>
      <c r="Y292" s="89"/>
      <c r="Z292" s="89"/>
      <c r="AA292" s="89" t="s">
        <v>797</v>
      </c>
      <c r="AB292" s="89"/>
      <c r="AC292" s="89"/>
      <c r="AD292" s="89" t="s">
        <v>797</v>
      </c>
      <c r="AE292" s="89"/>
      <c r="AF292" s="89"/>
      <c r="AG292" s="89" t="s">
        <v>949</v>
      </c>
      <c r="AH292" s="89"/>
      <c r="AI292" s="89"/>
      <c r="AJ292" s="89"/>
      <c r="AK292" s="89"/>
      <c r="AL292" s="89"/>
      <c r="AM292" s="89"/>
      <c r="AN292" s="89"/>
      <c r="AO292" s="89"/>
      <c r="AP292" s="89"/>
      <c r="AQ292" s="89"/>
      <c r="AR292" s="89"/>
      <c r="AS292" s="89"/>
      <c r="AT292" s="89"/>
      <c r="AU292" s="89"/>
      <c r="AV292" s="89"/>
      <c r="AW292" s="89">
        <v>1.48</v>
      </c>
      <c r="AX292" s="89"/>
      <c r="AY292" s="89"/>
      <c r="AZ292" s="89"/>
      <c r="BA292" s="89" t="s">
        <v>797</v>
      </c>
      <c r="BB292" s="441"/>
      <c r="BC292" s="441" t="s">
        <v>948</v>
      </c>
      <c r="BD292" s="89" t="s">
        <v>797</v>
      </c>
      <c r="BE292" s="89" t="s">
        <v>948</v>
      </c>
      <c r="BF292" s="441">
        <v>0</v>
      </c>
      <c r="BG292" s="441">
        <v>0</v>
      </c>
      <c r="BH292" s="441">
        <v>0</v>
      </c>
      <c r="BI292" s="441">
        <v>0</v>
      </c>
      <c r="BJ292" s="441">
        <v>0</v>
      </c>
      <c r="BK292" s="441" t="s">
        <v>797</v>
      </c>
      <c r="BL292" s="89" t="s">
        <v>797</v>
      </c>
      <c r="BM292" s="441"/>
      <c r="BN292" s="441"/>
      <c r="BO292" s="89" t="s">
        <v>797</v>
      </c>
      <c r="BP292" s="441"/>
      <c r="BQ292" s="441"/>
      <c r="BR292" s="441"/>
    </row>
    <row r="293" spans="2:70" ht="14.25">
      <c r="B293" s="437">
        <f t="shared" si="7"/>
        <v>3</v>
      </c>
      <c r="C293" s="255" t="s">
        <v>173</v>
      </c>
      <c r="D293" s="438" t="s">
        <v>358</v>
      </c>
      <c r="E293" s="438" t="s">
        <v>796</v>
      </c>
      <c r="F293" s="89">
        <v>281.16000000000003</v>
      </c>
      <c r="G293" s="443">
        <v>333</v>
      </c>
      <c r="H293" s="89">
        <v>1</v>
      </c>
      <c r="I293" s="89" t="s">
        <v>950</v>
      </c>
      <c r="J293" s="89"/>
      <c r="K293" s="89"/>
      <c r="L293" s="89"/>
      <c r="M293" s="89"/>
      <c r="N293" s="89"/>
      <c r="O293" s="89" t="s">
        <v>946</v>
      </c>
      <c r="P293" s="89" t="s">
        <v>947</v>
      </c>
      <c r="Q293" s="475" t="s">
        <v>797</v>
      </c>
      <c r="R293" s="89"/>
      <c r="S293" s="89"/>
      <c r="T293" s="89"/>
      <c r="U293" s="89" t="s">
        <v>797</v>
      </c>
      <c r="V293" s="89"/>
      <c r="W293" s="89"/>
      <c r="X293" s="89" t="s">
        <v>948</v>
      </c>
      <c r="Y293" s="89"/>
      <c r="Z293" s="89"/>
      <c r="AA293" s="89" t="s">
        <v>797</v>
      </c>
      <c r="AB293" s="89"/>
      <c r="AC293" s="89"/>
      <c r="AD293" s="89" t="s">
        <v>797</v>
      </c>
      <c r="AE293" s="89"/>
      <c r="AF293" s="89"/>
      <c r="AG293" s="89" t="s">
        <v>949</v>
      </c>
      <c r="AH293" s="89"/>
      <c r="AI293" s="89" t="s">
        <v>951</v>
      </c>
      <c r="AJ293" s="89" t="s">
        <v>952</v>
      </c>
      <c r="AK293" s="89"/>
      <c r="AL293" s="89" t="s">
        <v>953</v>
      </c>
      <c r="AM293" s="89" t="s">
        <v>954</v>
      </c>
      <c r="AN293" s="89"/>
      <c r="AO293" s="89"/>
      <c r="AP293" s="89"/>
      <c r="AQ293" s="89"/>
      <c r="AR293" s="89"/>
      <c r="AS293" s="89"/>
      <c r="AT293" s="89"/>
      <c r="AU293" s="89" t="s">
        <v>955</v>
      </c>
      <c r="AV293" s="89"/>
      <c r="AW293" s="89"/>
      <c r="AX293" s="89"/>
      <c r="AY293" s="89"/>
      <c r="AZ293" s="89"/>
      <c r="BA293" s="89" t="s">
        <v>797</v>
      </c>
      <c r="BB293" s="441"/>
      <c r="BC293" s="441"/>
      <c r="BD293" s="89" t="s">
        <v>797</v>
      </c>
      <c r="BE293" s="89" t="s">
        <v>948</v>
      </c>
      <c r="BF293" s="441">
        <v>0</v>
      </c>
      <c r="BG293" s="441">
        <v>0</v>
      </c>
      <c r="BH293" s="441">
        <v>0</v>
      </c>
      <c r="BI293" s="441">
        <v>0</v>
      </c>
      <c r="BJ293" s="441">
        <v>0</v>
      </c>
      <c r="BK293" s="441" t="s">
        <v>797</v>
      </c>
      <c r="BL293" s="89" t="s">
        <v>797</v>
      </c>
      <c r="BM293" s="441"/>
      <c r="BN293" s="441"/>
      <c r="BO293" s="89" t="s">
        <v>797</v>
      </c>
      <c r="BP293" s="441"/>
      <c r="BQ293" s="441"/>
      <c r="BR293" s="441"/>
    </row>
    <row r="294" spans="2:70" ht="14.25">
      <c r="B294" s="437">
        <f t="shared" si="7"/>
        <v>4</v>
      </c>
      <c r="C294" s="255" t="s">
        <v>177</v>
      </c>
      <c r="D294" s="438" t="s">
        <v>358</v>
      </c>
      <c r="E294" s="438" t="s">
        <v>796</v>
      </c>
      <c r="F294" s="89">
        <v>328.44</v>
      </c>
      <c r="G294" s="443">
        <v>389</v>
      </c>
      <c r="H294" s="89">
        <v>1</v>
      </c>
      <c r="I294" s="89" t="s">
        <v>950</v>
      </c>
      <c r="J294" s="89" t="s">
        <v>956</v>
      </c>
      <c r="K294" s="89" t="s">
        <v>956</v>
      </c>
      <c r="L294" s="89" t="s">
        <v>956</v>
      </c>
      <c r="M294" s="89">
        <v>5</v>
      </c>
      <c r="N294" s="89" t="s">
        <v>957</v>
      </c>
      <c r="O294" s="89" t="s">
        <v>958</v>
      </c>
      <c r="P294" s="89" t="s">
        <v>959</v>
      </c>
      <c r="Q294" s="475" t="s">
        <v>960</v>
      </c>
      <c r="R294" s="89">
        <v>6</v>
      </c>
      <c r="S294" s="89">
        <v>60</v>
      </c>
      <c r="T294" s="89">
        <v>5</v>
      </c>
      <c r="U294" s="89" t="s">
        <v>797</v>
      </c>
      <c r="V294" s="89"/>
      <c r="W294" s="89"/>
      <c r="X294" s="89" t="s">
        <v>948</v>
      </c>
      <c r="Y294" s="89"/>
      <c r="Z294" s="89"/>
      <c r="AA294" s="89" t="s">
        <v>961</v>
      </c>
      <c r="AB294" s="89" t="s">
        <v>962</v>
      </c>
      <c r="AC294" s="89" t="s">
        <v>963</v>
      </c>
      <c r="AD294" s="89" t="s">
        <v>797</v>
      </c>
      <c r="AE294" s="89"/>
      <c r="AF294" s="89"/>
      <c r="AG294" s="89" t="s">
        <v>949</v>
      </c>
      <c r="AH294" s="89"/>
      <c r="AI294" s="89" t="s">
        <v>951</v>
      </c>
      <c r="AJ294" s="89" t="s">
        <v>952</v>
      </c>
      <c r="AK294" s="89"/>
      <c r="AL294" s="89" t="s">
        <v>953</v>
      </c>
      <c r="AM294" s="89" t="s">
        <v>954</v>
      </c>
      <c r="AN294" s="89"/>
      <c r="AO294" s="89"/>
      <c r="AP294" s="89"/>
      <c r="AQ294" s="89"/>
      <c r="AR294" s="89"/>
      <c r="AS294" s="89"/>
      <c r="AT294" s="89"/>
      <c r="AU294" s="89" t="s">
        <v>955</v>
      </c>
      <c r="AV294" s="89"/>
      <c r="AW294" s="89"/>
      <c r="AX294" s="89"/>
      <c r="AY294" s="89"/>
      <c r="AZ294" s="89"/>
      <c r="BA294" s="89" t="s">
        <v>797</v>
      </c>
      <c r="BB294" s="441"/>
      <c r="BC294" s="441"/>
      <c r="BD294" s="89" t="s">
        <v>797</v>
      </c>
      <c r="BE294" s="89" t="s">
        <v>948</v>
      </c>
      <c r="BF294" s="441">
        <v>0</v>
      </c>
      <c r="BG294" s="441">
        <v>0</v>
      </c>
      <c r="BH294" s="441">
        <v>0</v>
      </c>
      <c r="BI294" s="441">
        <v>0</v>
      </c>
      <c r="BJ294" s="441">
        <v>0</v>
      </c>
      <c r="BK294" s="441" t="s">
        <v>797</v>
      </c>
      <c r="BL294" s="89" t="s">
        <v>797</v>
      </c>
      <c r="BM294" s="441"/>
      <c r="BN294" s="441"/>
      <c r="BO294" s="89" t="s">
        <v>960</v>
      </c>
      <c r="BP294" s="441" t="s">
        <v>964</v>
      </c>
      <c r="BQ294" s="441" t="s">
        <v>965</v>
      </c>
      <c r="BR294" s="441" t="s">
        <v>966</v>
      </c>
    </row>
    <row r="295" spans="2:70" ht="14.25" collapsed="1">
      <c r="B295" s="437">
        <f t="shared" si="7"/>
        <v>5</v>
      </c>
      <c r="C295" s="255" t="s">
        <v>180</v>
      </c>
      <c r="D295" s="438" t="s">
        <v>358</v>
      </c>
      <c r="E295" s="438" t="s">
        <v>796</v>
      </c>
      <c r="F295" s="89">
        <v>367.29</v>
      </c>
      <c r="G295" s="443">
        <v>435</v>
      </c>
      <c r="H295" s="89">
        <v>1</v>
      </c>
      <c r="I295" s="89" t="s">
        <v>950</v>
      </c>
      <c r="J295" s="89" t="s">
        <v>956</v>
      </c>
      <c r="K295" s="89" t="s">
        <v>956</v>
      </c>
      <c r="L295" s="89" t="s">
        <v>956</v>
      </c>
      <c r="M295" s="89">
        <v>5</v>
      </c>
      <c r="N295" s="89" t="s">
        <v>957</v>
      </c>
      <c r="O295" s="89" t="s">
        <v>967</v>
      </c>
      <c r="P295" s="89" t="s">
        <v>959</v>
      </c>
      <c r="Q295" s="475" t="s">
        <v>960</v>
      </c>
      <c r="R295" s="89">
        <v>6</v>
      </c>
      <c r="S295" s="89">
        <v>80</v>
      </c>
      <c r="T295" s="89">
        <v>5</v>
      </c>
      <c r="U295" s="89" t="s">
        <v>797</v>
      </c>
      <c r="V295" s="89"/>
      <c r="W295" s="89"/>
      <c r="X295" s="89" t="s">
        <v>948</v>
      </c>
      <c r="Y295" s="89"/>
      <c r="Z295" s="89"/>
      <c r="AA295" s="89" t="s">
        <v>961</v>
      </c>
      <c r="AB295" s="89" t="s">
        <v>962</v>
      </c>
      <c r="AC295" s="89" t="s">
        <v>963</v>
      </c>
      <c r="AD295" s="89" t="s">
        <v>797</v>
      </c>
      <c r="AE295" s="89"/>
      <c r="AF295" s="89"/>
      <c r="AG295" s="89" t="s">
        <v>949</v>
      </c>
      <c r="AH295" s="89"/>
      <c r="AI295" s="89" t="s">
        <v>951</v>
      </c>
      <c r="AJ295" s="89" t="s">
        <v>952</v>
      </c>
      <c r="AK295" s="89"/>
      <c r="AL295" s="89" t="s">
        <v>953</v>
      </c>
      <c r="AM295" s="89" t="s">
        <v>954</v>
      </c>
      <c r="AN295" s="89"/>
      <c r="AO295" s="89"/>
      <c r="AP295" s="89"/>
      <c r="AQ295" s="89"/>
      <c r="AR295" s="89"/>
      <c r="AS295" s="89"/>
      <c r="AT295" s="89"/>
      <c r="AU295" s="89" t="s">
        <v>955</v>
      </c>
      <c r="AV295" s="89"/>
      <c r="AW295" s="89"/>
      <c r="AX295" s="89"/>
      <c r="AY295" s="89"/>
      <c r="AZ295" s="89"/>
      <c r="BA295" s="89" t="s">
        <v>797</v>
      </c>
      <c r="BB295" s="441"/>
      <c r="BC295" s="441"/>
      <c r="BD295" s="89" t="s">
        <v>797</v>
      </c>
      <c r="BE295" s="89" t="s">
        <v>948</v>
      </c>
      <c r="BF295" s="441">
        <v>0</v>
      </c>
      <c r="BG295" s="441">
        <v>0</v>
      </c>
      <c r="BH295" s="441">
        <v>0</v>
      </c>
      <c r="BI295" s="441">
        <v>0</v>
      </c>
      <c r="BJ295" s="441">
        <v>0</v>
      </c>
      <c r="BK295" s="441" t="s">
        <v>797</v>
      </c>
      <c r="BL295" s="89" t="s">
        <v>960</v>
      </c>
      <c r="BM295" s="441" t="s">
        <v>965</v>
      </c>
      <c r="BN295" s="441" t="s">
        <v>968</v>
      </c>
      <c r="BO295" s="89" t="s">
        <v>960</v>
      </c>
      <c r="BP295" s="441" t="s">
        <v>969</v>
      </c>
      <c r="BQ295" s="441" t="s">
        <v>970</v>
      </c>
      <c r="BR295" s="441" t="s">
        <v>971</v>
      </c>
    </row>
    <row r="296" spans="2:70" ht="14.25">
      <c r="B296" s="437">
        <f t="shared" si="7"/>
        <v>6</v>
      </c>
      <c r="C296" s="255" t="s">
        <v>182</v>
      </c>
      <c r="D296" s="438" t="s">
        <v>358</v>
      </c>
      <c r="E296" s="438" t="s">
        <v>796</v>
      </c>
      <c r="F296" s="89">
        <v>421.32</v>
      </c>
      <c r="G296" s="443">
        <v>499</v>
      </c>
      <c r="H296" s="89">
        <v>1</v>
      </c>
      <c r="I296" s="89" t="s">
        <v>950</v>
      </c>
      <c r="J296" s="89" t="s">
        <v>956</v>
      </c>
      <c r="K296" s="89" t="s">
        <v>956</v>
      </c>
      <c r="L296" s="89" t="s">
        <v>956</v>
      </c>
      <c r="M296" s="89">
        <v>5</v>
      </c>
      <c r="N296" s="89" t="s">
        <v>957</v>
      </c>
      <c r="O296" s="89" t="s">
        <v>972</v>
      </c>
      <c r="P296" s="89" t="s">
        <v>959</v>
      </c>
      <c r="Q296" s="475" t="s">
        <v>797</v>
      </c>
      <c r="R296" s="89"/>
      <c r="S296" s="89"/>
      <c r="T296" s="89"/>
      <c r="U296" s="89" t="s">
        <v>797</v>
      </c>
      <c r="V296" s="89"/>
      <c r="W296" s="89"/>
      <c r="X296" s="89" t="s">
        <v>948</v>
      </c>
      <c r="Y296" s="89"/>
      <c r="Z296" s="89"/>
      <c r="AA296" s="89" t="s">
        <v>961</v>
      </c>
      <c r="AB296" s="89" t="s">
        <v>962</v>
      </c>
      <c r="AC296" s="89" t="s">
        <v>963</v>
      </c>
      <c r="AD296" s="89" t="s">
        <v>797</v>
      </c>
      <c r="AE296" s="89"/>
      <c r="AF296" s="89"/>
      <c r="AG296" s="89" t="s">
        <v>949</v>
      </c>
      <c r="AH296" s="89"/>
      <c r="AI296" s="89" t="s">
        <v>951</v>
      </c>
      <c r="AJ296" s="89" t="s">
        <v>952</v>
      </c>
      <c r="AK296" s="89"/>
      <c r="AL296" s="89" t="s">
        <v>953</v>
      </c>
      <c r="AM296" s="89" t="s">
        <v>954</v>
      </c>
      <c r="AN296" s="89"/>
      <c r="AO296" s="89"/>
      <c r="AP296" s="89"/>
      <c r="AQ296" s="89"/>
      <c r="AR296" s="89"/>
      <c r="AS296" s="89"/>
      <c r="AT296" s="89"/>
      <c r="AU296" s="89" t="s">
        <v>955</v>
      </c>
      <c r="AV296" s="89"/>
      <c r="AW296" s="89"/>
      <c r="AX296" s="89"/>
      <c r="AY296" s="89"/>
      <c r="AZ296" s="89"/>
      <c r="BA296" s="89" t="s">
        <v>797</v>
      </c>
      <c r="BB296" s="441"/>
      <c r="BC296" s="441"/>
      <c r="BD296" s="89" t="s">
        <v>797</v>
      </c>
      <c r="BE296" s="89" t="s">
        <v>948</v>
      </c>
      <c r="BF296" s="441">
        <v>0</v>
      </c>
      <c r="BG296" s="441">
        <v>0</v>
      </c>
      <c r="BH296" s="441">
        <v>0</v>
      </c>
      <c r="BI296" s="441">
        <v>0</v>
      </c>
      <c r="BJ296" s="441">
        <v>0</v>
      </c>
      <c r="BK296" s="441" t="s">
        <v>797</v>
      </c>
      <c r="BL296" s="89" t="s">
        <v>960</v>
      </c>
      <c r="BM296" s="441" t="s">
        <v>965</v>
      </c>
      <c r="BN296" s="441" t="s">
        <v>973</v>
      </c>
      <c r="BO296" s="89" t="s">
        <v>961</v>
      </c>
      <c r="BP296" s="441" t="s">
        <v>964</v>
      </c>
      <c r="BQ296" s="441" t="s">
        <v>965</v>
      </c>
      <c r="BR296" s="441" t="s">
        <v>966</v>
      </c>
    </row>
    <row r="297" spans="2:70" ht="14.25">
      <c r="B297" s="437">
        <f t="shared" si="7"/>
        <v>7</v>
      </c>
      <c r="C297" s="255" t="s">
        <v>184</v>
      </c>
      <c r="D297" s="438" t="s">
        <v>358</v>
      </c>
      <c r="E297" s="438" t="s">
        <v>796</v>
      </c>
      <c r="F297" s="89">
        <v>505.76</v>
      </c>
      <c r="G297" s="443">
        <v>599.00191359999997</v>
      </c>
      <c r="H297" s="89">
        <v>2</v>
      </c>
      <c r="I297" s="89" t="s">
        <v>950</v>
      </c>
      <c r="J297" s="89" t="s">
        <v>956</v>
      </c>
      <c r="K297" s="89" t="s">
        <v>956</v>
      </c>
      <c r="L297" s="89" t="s">
        <v>956</v>
      </c>
      <c r="M297" s="89">
        <v>5</v>
      </c>
      <c r="N297" s="89" t="s">
        <v>957</v>
      </c>
      <c r="O297" s="89" t="s">
        <v>974</v>
      </c>
      <c r="P297" s="89" t="s">
        <v>958</v>
      </c>
      <c r="Q297" s="475" t="s">
        <v>797</v>
      </c>
      <c r="R297" s="89"/>
      <c r="S297" s="89"/>
      <c r="T297" s="89"/>
      <c r="U297" s="89" t="s">
        <v>797</v>
      </c>
      <c r="V297" s="89"/>
      <c r="W297" s="89"/>
      <c r="X297" s="89" t="s">
        <v>948</v>
      </c>
      <c r="Y297" s="89"/>
      <c r="Z297" s="89"/>
      <c r="AA297" s="89" t="s">
        <v>961</v>
      </c>
      <c r="AB297" s="89" t="s">
        <v>962</v>
      </c>
      <c r="AC297" s="89" t="s">
        <v>963</v>
      </c>
      <c r="AD297" s="89" t="s">
        <v>797</v>
      </c>
      <c r="AE297" s="89"/>
      <c r="AF297" s="89"/>
      <c r="AG297" s="89" t="s">
        <v>949</v>
      </c>
      <c r="AH297" s="89"/>
      <c r="AI297" s="89" t="s">
        <v>951</v>
      </c>
      <c r="AJ297" s="89" t="s">
        <v>952</v>
      </c>
      <c r="AK297" s="89"/>
      <c r="AL297" s="89" t="s">
        <v>953</v>
      </c>
      <c r="AM297" s="89" t="s">
        <v>954</v>
      </c>
      <c r="AN297" s="89"/>
      <c r="AO297" s="89"/>
      <c r="AP297" s="89"/>
      <c r="AQ297" s="89"/>
      <c r="AR297" s="89"/>
      <c r="AS297" s="89"/>
      <c r="AT297" s="89"/>
      <c r="AU297" s="89" t="s">
        <v>955</v>
      </c>
      <c r="AV297" s="89"/>
      <c r="AW297" s="89"/>
      <c r="AX297" s="89"/>
      <c r="AY297" s="89"/>
      <c r="AZ297" s="89"/>
      <c r="BA297" s="89" t="s">
        <v>797</v>
      </c>
      <c r="BB297" s="441"/>
      <c r="BC297" s="441"/>
      <c r="BD297" s="89" t="s">
        <v>797</v>
      </c>
      <c r="BE297" s="89" t="s">
        <v>948</v>
      </c>
      <c r="BF297" s="441">
        <v>0</v>
      </c>
      <c r="BG297" s="441">
        <v>0</v>
      </c>
      <c r="BH297" s="441">
        <v>0</v>
      </c>
      <c r="BI297" s="441">
        <v>0</v>
      </c>
      <c r="BJ297" s="441">
        <v>0</v>
      </c>
      <c r="BK297" s="441" t="s">
        <v>797</v>
      </c>
      <c r="BL297" s="89" t="s">
        <v>960</v>
      </c>
      <c r="BM297" s="441" t="s">
        <v>965</v>
      </c>
      <c r="BN297" s="441" t="s">
        <v>975</v>
      </c>
      <c r="BO297" s="89" t="s">
        <v>797</v>
      </c>
      <c r="BP297" s="441"/>
      <c r="BQ297" s="441"/>
      <c r="BR297" s="441"/>
    </row>
    <row r="298" spans="2:70" ht="14.25">
      <c r="B298" s="437">
        <f t="shared" si="7"/>
        <v>8</v>
      </c>
      <c r="C298" s="255" t="s">
        <v>187</v>
      </c>
      <c r="D298" s="438" t="s">
        <v>358</v>
      </c>
      <c r="E298" s="438" t="s">
        <v>796</v>
      </c>
      <c r="F298" s="89">
        <v>547.98</v>
      </c>
      <c r="G298" s="443">
        <v>649</v>
      </c>
      <c r="H298" s="89">
        <v>2</v>
      </c>
      <c r="I298" s="89" t="s">
        <v>950</v>
      </c>
      <c r="J298" s="89" t="s">
        <v>956</v>
      </c>
      <c r="K298" s="89" t="s">
        <v>956</v>
      </c>
      <c r="L298" s="89" t="s">
        <v>956</v>
      </c>
      <c r="M298" s="89">
        <v>5</v>
      </c>
      <c r="N298" s="89" t="s">
        <v>957</v>
      </c>
      <c r="O298" s="89" t="s">
        <v>976</v>
      </c>
      <c r="P298" s="89" t="s">
        <v>977</v>
      </c>
      <c r="Q298" s="475" t="s">
        <v>960</v>
      </c>
      <c r="R298" s="89">
        <v>6</v>
      </c>
      <c r="S298" s="89">
        <v>300</v>
      </c>
      <c r="T298" s="89">
        <v>300</v>
      </c>
      <c r="U298" s="89" t="s">
        <v>797</v>
      </c>
      <c r="V298" s="89"/>
      <c r="W298" s="89"/>
      <c r="X298" s="89" t="s">
        <v>948</v>
      </c>
      <c r="Y298" s="89"/>
      <c r="Z298" s="89"/>
      <c r="AA298" s="89" t="s">
        <v>961</v>
      </c>
      <c r="AB298" s="89" t="s">
        <v>962</v>
      </c>
      <c r="AC298" s="89" t="s">
        <v>963</v>
      </c>
      <c r="AD298" s="89" t="s">
        <v>797</v>
      </c>
      <c r="AE298" s="89"/>
      <c r="AF298" s="89"/>
      <c r="AG298" s="89" t="s">
        <v>949</v>
      </c>
      <c r="AH298" s="89"/>
      <c r="AI298" s="89" t="s">
        <v>951</v>
      </c>
      <c r="AJ298" s="89" t="s">
        <v>952</v>
      </c>
      <c r="AK298" s="89"/>
      <c r="AL298" s="89" t="s">
        <v>953</v>
      </c>
      <c r="AM298" s="89" t="s">
        <v>954</v>
      </c>
      <c r="AN298" s="89"/>
      <c r="AO298" s="89"/>
      <c r="AP298" s="89"/>
      <c r="AQ298" s="89"/>
      <c r="AR298" s="89"/>
      <c r="AS298" s="89"/>
      <c r="AT298" s="89"/>
      <c r="AU298" s="89" t="s">
        <v>955</v>
      </c>
      <c r="AV298" s="89"/>
      <c r="AW298" s="89"/>
      <c r="AX298" s="89"/>
      <c r="AY298" s="89"/>
      <c r="AZ298" s="89"/>
      <c r="BA298" s="89" t="s">
        <v>797</v>
      </c>
      <c r="BB298" s="441"/>
      <c r="BC298" s="441"/>
      <c r="BD298" s="89" t="s">
        <v>797</v>
      </c>
      <c r="BE298" s="89" t="s">
        <v>948</v>
      </c>
      <c r="BF298" s="441">
        <v>0</v>
      </c>
      <c r="BG298" s="441">
        <v>0</v>
      </c>
      <c r="BH298" s="441">
        <v>0</v>
      </c>
      <c r="BI298" s="441">
        <v>0</v>
      </c>
      <c r="BJ298" s="441">
        <v>0</v>
      </c>
      <c r="BK298" s="441" t="s">
        <v>797</v>
      </c>
      <c r="BL298" s="89" t="s">
        <v>797</v>
      </c>
      <c r="BM298" s="441"/>
      <c r="BN298" s="441"/>
      <c r="BO298" s="89" t="s">
        <v>797</v>
      </c>
      <c r="BP298" s="441"/>
      <c r="BQ298" s="441"/>
      <c r="BR298" s="441"/>
    </row>
    <row r="299" spans="2:70" ht="14.25">
      <c r="B299" s="437">
        <f t="shared" si="7"/>
        <v>9</v>
      </c>
      <c r="C299" s="255" t="s">
        <v>189</v>
      </c>
      <c r="D299" s="438" t="s">
        <v>358</v>
      </c>
      <c r="E299" s="438" t="s">
        <v>796</v>
      </c>
      <c r="F299" s="89">
        <v>843.5</v>
      </c>
      <c r="G299" s="443">
        <v>999</v>
      </c>
      <c r="H299" s="89">
        <v>3</v>
      </c>
      <c r="I299" s="89" t="s">
        <v>950</v>
      </c>
      <c r="J299" s="89" t="s">
        <v>950</v>
      </c>
      <c r="K299" s="89" t="s">
        <v>956</v>
      </c>
      <c r="L299" s="89" t="s">
        <v>956</v>
      </c>
      <c r="M299" s="89">
        <v>5</v>
      </c>
      <c r="N299" s="89" t="s">
        <v>957</v>
      </c>
      <c r="O299" s="89" t="s">
        <v>978</v>
      </c>
      <c r="P299" s="89" t="s">
        <v>977</v>
      </c>
      <c r="Q299" s="475" t="s">
        <v>960</v>
      </c>
      <c r="R299" s="89">
        <v>6</v>
      </c>
      <c r="S299" s="89">
        <v>750</v>
      </c>
      <c r="T299" s="89">
        <v>50</v>
      </c>
      <c r="U299" s="89" t="s">
        <v>797</v>
      </c>
      <c r="V299" s="89"/>
      <c r="W299" s="89"/>
      <c r="X299" s="89" t="s">
        <v>948</v>
      </c>
      <c r="Y299" s="89"/>
      <c r="Z299" s="89"/>
      <c r="AA299" s="89" t="s">
        <v>961</v>
      </c>
      <c r="AB299" s="89" t="s">
        <v>962</v>
      </c>
      <c r="AC299" s="89" t="s">
        <v>963</v>
      </c>
      <c r="AD299" s="89" t="s">
        <v>797</v>
      </c>
      <c r="AE299" s="89"/>
      <c r="AF299" s="89"/>
      <c r="AG299" s="89" t="s">
        <v>949</v>
      </c>
      <c r="AH299" s="89"/>
      <c r="AI299" s="89" t="s">
        <v>951</v>
      </c>
      <c r="AJ299" s="89" t="s">
        <v>952</v>
      </c>
      <c r="AK299" s="89"/>
      <c r="AL299" s="89" t="s">
        <v>953</v>
      </c>
      <c r="AM299" s="89" t="s">
        <v>954</v>
      </c>
      <c r="AN299" s="89"/>
      <c r="AO299" s="89"/>
      <c r="AP299" s="89"/>
      <c r="AQ299" s="89"/>
      <c r="AR299" s="89"/>
      <c r="AS299" s="89"/>
      <c r="AT299" s="89"/>
      <c r="AU299" s="89" t="s">
        <v>955</v>
      </c>
      <c r="AV299" s="89"/>
      <c r="AW299" s="89"/>
      <c r="AX299" s="89"/>
      <c r="AY299" s="89"/>
      <c r="AZ299" s="89"/>
      <c r="BA299" s="89" t="s">
        <v>797</v>
      </c>
      <c r="BB299" s="441"/>
      <c r="BC299" s="441"/>
      <c r="BD299" s="89" t="s">
        <v>797</v>
      </c>
      <c r="BE299" s="89" t="s">
        <v>948</v>
      </c>
      <c r="BF299" s="441">
        <v>0</v>
      </c>
      <c r="BG299" s="441">
        <v>0</v>
      </c>
      <c r="BH299" s="441">
        <v>0</v>
      </c>
      <c r="BI299" s="441">
        <v>0</v>
      </c>
      <c r="BJ299" s="441">
        <v>0</v>
      </c>
      <c r="BK299" s="441" t="s">
        <v>797</v>
      </c>
      <c r="BL299" s="89" t="s">
        <v>797</v>
      </c>
      <c r="BM299" s="441"/>
      <c r="BN299" s="441"/>
      <c r="BO299" s="89" t="s">
        <v>797</v>
      </c>
      <c r="BP299" s="441"/>
      <c r="BQ299" s="441"/>
      <c r="BR299" s="441"/>
    </row>
    <row r="300" spans="2:70" ht="14.65" customHeight="1">
      <c r="B300" s="437">
        <f t="shared" si="7"/>
        <v>10</v>
      </c>
      <c r="C300" s="255" t="s">
        <v>191</v>
      </c>
      <c r="D300" s="438" t="s">
        <v>358</v>
      </c>
      <c r="E300" s="438" t="s">
        <v>796</v>
      </c>
      <c r="F300" s="89">
        <v>1181.23</v>
      </c>
      <c r="G300" s="443">
        <v>1399</v>
      </c>
      <c r="H300" s="89">
        <v>6</v>
      </c>
      <c r="I300" s="89" t="s">
        <v>950</v>
      </c>
      <c r="J300" s="89" t="s">
        <v>956</v>
      </c>
      <c r="K300" s="89" t="s">
        <v>956</v>
      </c>
      <c r="L300" s="89" t="s">
        <v>956</v>
      </c>
      <c r="M300" s="89">
        <v>5</v>
      </c>
      <c r="N300" s="89" t="s">
        <v>957</v>
      </c>
      <c r="O300" s="89" t="s">
        <v>979</v>
      </c>
      <c r="P300" s="89" t="s">
        <v>976</v>
      </c>
      <c r="Q300" s="475" t="s">
        <v>797</v>
      </c>
      <c r="R300" s="89"/>
      <c r="S300" s="89"/>
      <c r="T300" s="89"/>
      <c r="U300" s="89" t="s">
        <v>797</v>
      </c>
      <c r="V300" s="89"/>
      <c r="W300" s="89"/>
      <c r="X300" s="89" t="s">
        <v>948</v>
      </c>
      <c r="Y300" s="89"/>
      <c r="Z300" s="89"/>
      <c r="AA300" s="89" t="s">
        <v>961</v>
      </c>
      <c r="AB300" s="89" t="s">
        <v>962</v>
      </c>
      <c r="AC300" s="89" t="s">
        <v>963</v>
      </c>
      <c r="AD300" s="89" t="s">
        <v>797</v>
      </c>
      <c r="AE300" s="89"/>
      <c r="AF300" s="89"/>
      <c r="AG300" s="89" t="s">
        <v>949</v>
      </c>
      <c r="AH300" s="89"/>
      <c r="AI300" s="89" t="s">
        <v>951</v>
      </c>
      <c r="AJ300" s="89" t="s">
        <v>952</v>
      </c>
      <c r="AK300" s="89"/>
      <c r="AL300" s="89" t="s">
        <v>953</v>
      </c>
      <c r="AM300" s="89" t="s">
        <v>954</v>
      </c>
      <c r="AN300" s="89"/>
      <c r="AO300" s="89"/>
      <c r="AP300" s="89"/>
      <c r="AQ300" s="89"/>
      <c r="AR300" s="89"/>
      <c r="AS300" s="89"/>
      <c r="AT300" s="89"/>
      <c r="AU300" s="89" t="s">
        <v>955</v>
      </c>
      <c r="AV300" s="89"/>
      <c r="AW300" s="89"/>
      <c r="AX300" s="89"/>
      <c r="AY300" s="89"/>
      <c r="AZ300" s="89"/>
      <c r="BA300" s="89" t="s">
        <v>797</v>
      </c>
      <c r="BB300" s="441"/>
      <c r="BC300" s="441"/>
      <c r="BD300" s="89" t="s">
        <v>797</v>
      </c>
      <c r="BE300" s="89" t="s">
        <v>948</v>
      </c>
      <c r="BF300" s="441">
        <v>0</v>
      </c>
      <c r="BG300" s="441">
        <v>0</v>
      </c>
      <c r="BH300" s="441">
        <v>0</v>
      </c>
      <c r="BI300" s="441">
        <v>0</v>
      </c>
      <c r="BJ300" s="441">
        <v>0</v>
      </c>
      <c r="BK300" s="441" t="s">
        <v>797</v>
      </c>
      <c r="BL300" s="89" t="s">
        <v>797</v>
      </c>
      <c r="BM300" s="441"/>
      <c r="BN300" s="441"/>
      <c r="BO300" s="89" t="s">
        <v>797</v>
      </c>
      <c r="BP300" s="441"/>
      <c r="BQ300" s="441"/>
      <c r="BR300" s="441"/>
    </row>
    <row r="301" spans="2:70" ht="14.65" customHeight="1">
      <c r="B301" s="437">
        <f t="shared" si="7"/>
        <v>11</v>
      </c>
      <c r="C301" s="255" t="s">
        <v>167</v>
      </c>
      <c r="D301" s="438" t="s">
        <v>358</v>
      </c>
      <c r="E301" s="438" t="s">
        <v>798</v>
      </c>
      <c r="F301" s="89">
        <v>240.52</v>
      </c>
      <c r="G301" s="443">
        <v>279</v>
      </c>
      <c r="H301" s="89"/>
      <c r="I301" s="89"/>
      <c r="J301" s="89"/>
      <c r="K301" s="89"/>
      <c r="L301" s="89"/>
      <c r="M301" s="89"/>
      <c r="N301" s="89"/>
      <c r="O301" s="89" t="s">
        <v>967</v>
      </c>
      <c r="P301" s="89" t="s">
        <v>980</v>
      </c>
      <c r="Q301" s="475" t="s">
        <v>797</v>
      </c>
      <c r="R301" s="89"/>
      <c r="S301" s="89"/>
      <c r="T301" s="89"/>
      <c r="U301" s="89" t="s">
        <v>797</v>
      </c>
      <c r="V301" s="89"/>
      <c r="W301" s="89"/>
      <c r="X301" s="89" t="s">
        <v>948</v>
      </c>
      <c r="Y301" s="89"/>
      <c r="Z301" s="89"/>
      <c r="AA301" s="89" t="s">
        <v>797</v>
      </c>
      <c r="AB301" s="89"/>
      <c r="AC301" s="89"/>
      <c r="AD301" s="89" t="s">
        <v>797</v>
      </c>
      <c r="AE301" s="89"/>
      <c r="AF301" s="89"/>
      <c r="AG301" s="89" t="s">
        <v>949</v>
      </c>
      <c r="AH301" s="89"/>
      <c r="AI301" s="89"/>
      <c r="AJ301" s="89"/>
      <c r="AK301" s="89"/>
      <c r="AL301" s="89"/>
      <c r="AM301" s="89"/>
      <c r="AN301" s="89"/>
      <c r="AO301" s="89"/>
      <c r="AP301" s="89"/>
      <c r="AQ301" s="89"/>
      <c r="AR301" s="89"/>
      <c r="AS301" s="89"/>
      <c r="AT301" s="89"/>
      <c r="AU301" s="89"/>
      <c r="AV301" s="89"/>
      <c r="AW301" s="89"/>
      <c r="AX301" s="89"/>
      <c r="AY301" s="89"/>
      <c r="AZ301" s="89"/>
      <c r="BA301" s="89" t="s">
        <v>797</v>
      </c>
      <c r="BB301" s="441"/>
      <c r="BC301" s="441"/>
      <c r="BD301" s="89" t="s">
        <v>797</v>
      </c>
      <c r="BE301" s="89" t="s">
        <v>948</v>
      </c>
      <c r="BF301" s="441">
        <v>0</v>
      </c>
      <c r="BG301" s="441">
        <v>0</v>
      </c>
      <c r="BH301" s="441">
        <v>0</v>
      </c>
      <c r="BI301" s="441">
        <v>0</v>
      </c>
      <c r="BJ301" s="441">
        <v>0</v>
      </c>
      <c r="BK301" s="441" t="s">
        <v>797</v>
      </c>
      <c r="BL301" s="89" t="s">
        <v>797</v>
      </c>
      <c r="BM301" s="441"/>
      <c r="BN301" s="441"/>
      <c r="BO301" s="89" t="s">
        <v>797</v>
      </c>
      <c r="BP301" s="441"/>
      <c r="BQ301" s="441"/>
      <c r="BR301" s="441"/>
    </row>
    <row r="302" spans="2:70" ht="14.65" customHeight="1">
      <c r="B302" s="437">
        <f t="shared" si="7"/>
        <v>12</v>
      </c>
      <c r="C302" s="126" t="s">
        <v>170</v>
      </c>
      <c r="D302" s="438" t="s">
        <v>358</v>
      </c>
      <c r="E302" s="438" t="s">
        <v>798</v>
      </c>
      <c r="F302" s="89">
        <v>257.76</v>
      </c>
      <c r="G302" s="443">
        <v>299</v>
      </c>
      <c r="H302" s="89"/>
      <c r="I302" s="89"/>
      <c r="J302" s="89"/>
      <c r="K302" s="89"/>
      <c r="L302" s="89"/>
      <c r="M302" s="89"/>
      <c r="N302" s="89"/>
      <c r="O302" s="89" t="s">
        <v>972</v>
      </c>
      <c r="P302" s="89" t="s">
        <v>980</v>
      </c>
      <c r="Q302" s="475" t="s">
        <v>797</v>
      </c>
      <c r="R302" s="89"/>
      <c r="S302" s="89"/>
      <c r="T302" s="89"/>
      <c r="U302" s="89" t="s">
        <v>797</v>
      </c>
      <c r="V302" s="89"/>
      <c r="W302" s="89"/>
      <c r="X302" s="89" t="s">
        <v>948</v>
      </c>
      <c r="Y302" s="89"/>
      <c r="Z302" s="89"/>
      <c r="AA302" s="89" t="s">
        <v>797</v>
      </c>
      <c r="AB302" s="89"/>
      <c r="AC302" s="89"/>
      <c r="AD302" s="89" t="s">
        <v>797</v>
      </c>
      <c r="AE302" s="89"/>
      <c r="AF302" s="89"/>
      <c r="AG302" s="89" t="s">
        <v>949</v>
      </c>
      <c r="AH302" s="89"/>
      <c r="AI302" s="89"/>
      <c r="AJ302" s="89"/>
      <c r="AK302" s="89"/>
      <c r="AL302" s="89"/>
      <c r="AM302" s="89"/>
      <c r="AN302" s="89"/>
      <c r="AO302" s="89"/>
      <c r="AP302" s="89"/>
      <c r="AQ302" s="89"/>
      <c r="AR302" s="89"/>
      <c r="AS302" s="89"/>
      <c r="AT302" s="89"/>
      <c r="AU302" s="89"/>
      <c r="AV302" s="89"/>
      <c r="AW302" s="89"/>
      <c r="AX302" s="89"/>
      <c r="AY302" s="89"/>
      <c r="AZ302" s="89"/>
      <c r="BA302" s="89" t="s">
        <v>797</v>
      </c>
      <c r="BB302" s="441"/>
      <c r="BC302" s="441"/>
      <c r="BD302" s="89" t="s">
        <v>797</v>
      </c>
      <c r="BE302" s="89" t="s">
        <v>948</v>
      </c>
      <c r="BF302" s="441">
        <v>0</v>
      </c>
      <c r="BG302" s="441">
        <v>0</v>
      </c>
      <c r="BH302" s="441">
        <v>0</v>
      </c>
      <c r="BI302" s="441">
        <v>0</v>
      </c>
      <c r="BJ302" s="441">
        <v>0</v>
      </c>
      <c r="BK302" s="441" t="s">
        <v>797</v>
      </c>
      <c r="BL302" s="89" t="s">
        <v>797</v>
      </c>
      <c r="BM302" s="441"/>
      <c r="BN302" s="441"/>
      <c r="BO302" s="89" t="s">
        <v>797</v>
      </c>
      <c r="BP302" s="441"/>
      <c r="BQ302" s="441"/>
      <c r="BR302" s="441"/>
    </row>
    <row r="303" spans="2:70" ht="14.65" customHeight="1">
      <c r="B303" s="437">
        <f t="shared" si="7"/>
        <v>13</v>
      </c>
      <c r="C303" s="255" t="s">
        <v>174</v>
      </c>
      <c r="D303" s="438" t="s">
        <v>358</v>
      </c>
      <c r="E303" s="438" t="s">
        <v>798</v>
      </c>
      <c r="F303" s="89">
        <v>300.86</v>
      </c>
      <c r="G303" s="443">
        <v>348.99759999999998</v>
      </c>
      <c r="H303" s="89"/>
      <c r="I303" s="89"/>
      <c r="J303" s="89"/>
      <c r="K303" s="89"/>
      <c r="L303" s="89"/>
      <c r="M303" s="89"/>
      <c r="N303" s="89"/>
      <c r="O303" s="89" t="s">
        <v>977</v>
      </c>
      <c r="P303" s="89" t="s">
        <v>980</v>
      </c>
      <c r="Q303" s="475" t="s">
        <v>960</v>
      </c>
      <c r="R303" s="89">
        <v>6</v>
      </c>
      <c r="S303" s="89">
        <v>60</v>
      </c>
      <c r="T303" s="89">
        <v>5</v>
      </c>
      <c r="U303" s="89" t="s">
        <v>797</v>
      </c>
      <c r="V303" s="89"/>
      <c r="W303" s="89"/>
      <c r="X303" s="89" t="s">
        <v>948</v>
      </c>
      <c r="Y303" s="89"/>
      <c r="Z303" s="89"/>
      <c r="AA303" s="89" t="s">
        <v>961</v>
      </c>
      <c r="AB303" s="89" t="s">
        <v>962</v>
      </c>
      <c r="AC303" s="89" t="s">
        <v>963</v>
      </c>
      <c r="AD303" s="89" t="s">
        <v>797</v>
      </c>
      <c r="AE303" s="89"/>
      <c r="AF303" s="89"/>
      <c r="AG303" s="89" t="s">
        <v>949</v>
      </c>
      <c r="AH303" s="89"/>
      <c r="AI303" s="89" t="s">
        <v>951</v>
      </c>
      <c r="AJ303" s="89" t="s">
        <v>952</v>
      </c>
      <c r="AK303" s="89"/>
      <c r="AL303" s="89" t="s">
        <v>953</v>
      </c>
      <c r="AM303" s="89" t="s">
        <v>954</v>
      </c>
      <c r="AN303" s="89"/>
      <c r="AO303" s="89"/>
      <c r="AP303" s="89"/>
      <c r="AQ303" s="89"/>
      <c r="AR303" s="89"/>
      <c r="AS303" s="89"/>
      <c r="AT303" s="89"/>
      <c r="AU303" s="89" t="s">
        <v>955</v>
      </c>
      <c r="AV303" s="89"/>
      <c r="AW303" s="89"/>
      <c r="AX303" s="89"/>
      <c r="AY303" s="89"/>
      <c r="AZ303" s="89"/>
      <c r="BA303" s="89" t="s">
        <v>797</v>
      </c>
      <c r="BB303" s="441"/>
      <c r="BC303" s="441"/>
      <c r="BD303" s="89" t="s">
        <v>797</v>
      </c>
      <c r="BE303" s="89" t="s">
        <v>948</v>
      </c>
      <c r="BF303" s="441">
        <v>0</v>
      </c>
      <c r="BG303" s="441">
        <v>0</v>
      </c>
      <c r="BH303" s="441">
        <v>0</v>
      </c>
      <c r="BI303" s="441">
        <v>0</v>
      </c>
      <c r="BJ303" s="441">
        <v>0</v>
      </c>
      <c r="BK303" s="441" t="s">
        <v>797</v>
      </c>
      <c r="BL303" s="89" t="s">
        <v>797</v>
      </c>
      <c r="BM303" s="441"/>
      <c r="BN303" s="441"/>
      <c r="BO303" s="89" t="s">
        <v>797</v>
      </c>
      <c r="BP303" s="441"/>
      <c r="BQ303" s="441"/>
      <c r="BR303" s="441"/>
    </row>
    <row r="304" spans="2:70" ht="14.65" customHeight="1">
      <c r="B304" s="437">
        <f t="shared" si="7"/>
        <v>14</v>
      </c>
      <c r="C304" s="255" t="s">
        <v>178</v>
      </c>
      <c r="D304" s="438" t="s">
        <v>358</v>
      </c>
      <c r="E304" s="438" t="s">
        <v>798</v>
      </c>
      <c r="F304" s="89">
        <v>343.97</v>
      </c>
      <c r="G304" s="443">
        <v>398.99520000000001</v>
      </c>
      <c r="H304" s="89"/>
      <c r="I304" s="89"/>
      <c r="J304" s="89"/>
      <c r="K304" s="89"/>
      <c r="L304" s="89"/>
      <c r="M304" s="89"/>
      <c r="N304" s="89"/>
      <c r="O304" s="89" t="s">
        <v>981</v>
      </c>
      <c r="P304" s="89" t="s">
        <v>980</v>
      </c>
      <c r="Q304" s="475" t="s">
        <v>960</v>
      </c>
      <c r="R304" s="89">
        <v>6</v>
      </c>
      <c r="S304" s="89">
        <v>80</v>
      </c>
      <c r="T304" s="89">
        <v>5</v>
      </c>
      <c r="U304" s="89" t="s">
        <v>797</v>
      </c>
      <c r="V304" s="89"/>
      <c r="W304" s="89"/>
      <c r="X304" s="89" t="s">
        <v>948</v>
      </c>
      <c r="Y304" s="89"/>
      <c r="Z304" s="89"/>
      <c r="AA304" s="89" t="s">
        <v>961</v>
      </c>
      <c r="AB304" s="89" t="s">
        <v>962</v>
      </c>
      <c r="AC304" s="89" t="s">
        <v>963</v>
      </c>
      <c r="AD304" s="89" t="s">
        <v>797</v>
      </c>
      <c r="AE304" s="89"/>
      <c r="AF304" s="89"/>
      <c r="AG304" s="89" t="s">
        <v>949</v>
      </c>
      <c r="AH304" s="89"/>
      <c r="AI304" s="89" t="s">
        <v>951</v>
      </c>
      <c r="AJ304" s="89" t="s">
        <v>952</v>
      </c>
      <c r="AK304" s="89"/>
      <c r="AL304" s="89" t="s">
        <v>953</v>
      </c>
      <c r="AM304" s="89" t="s">
        <v>954</v>
      </c>
      <c r="AN304" s="89"/>
      <c r="AO304" s="89"/>
      <c r="AP304" s="89"/>
      <c r="AQ304" s="89"/>
      <c r="AR304" s="89"/>
      <c r="AS304" s="89"/>
      <c r="AT304" s="89"/>
      <c r="AU304" s="89" t="s">
        <v>955</v>
      </c>
      <c r="AV304" s="89"/>
      <c r="AW304" s="89"/>
      <c r="AX304" s="89"/>
      <c r="AY304" s="89"/>
      <c r="AZ304" s="89"/>
      <c r="BA304" s="89" t="s">
        <v>797</v>
      </c>
      <c r="BB304" s="441"/>
      <c r="BC304" s="441"/>
      <c r="BD304" s="89" t="s">
        <v>797</v>
      </c>
      <c r="BE304" s="89" t="s">
        <v>948</v>
      </c>
      <c r="BF304" s="441">
        <v>0</v>
      </c>
      <c r="BG304" s="441">
        <v>0</v>
      </c>
      <c r="BH304" s="441">
        <v>0</v>
      </c>
      <c r="BI304" s="441">
        <v>0</v>
      </c>
      <c r="BJ304" s="441">
        <v>0</v>
      </c>
      <c r="BK304" s="441" t="s">
        <v>797</v>
      </c>
      <c r="BL304" s="89" t="s">
        <v>797</v>
      </c>
      <c r="BM304" s="441"/>
      <c r="BN304" s="441"/>
      <c r="BO304" s="89" t="s">
        <v>797</v>
      </c>
      <c r="BP304" s="441"/>
      <c r="BQ304" s="441"/>
      <c r="BR304" s="441"/>
    </row>
    <row r="305" spans="2:70" ht="14.65" customHeight="1">
      <c r="B305" s="437">
        <f t="shared" si="7"/>
        <v>15</v>
      </c>
      <c r="C305" s="255" t="s">
        <v>181</v>
      </c>
      <c r="D305" s="438" t="s">
        <v>358</v>
      </c>
      <c r="E305" s="438" t="s">
        <v>798</v>
      </c>
      <c r="F305" s="89">
        <v>387.07</v>
      </c>
      <c r="G305" s="443">
        <v>449</v>
      </c>
      <c r="H305" s="89"/>
      <c r="I305" s="89"/>
      <c r="J305" s="89"/>
      <c r="K305" s="89"/>
      <c r="L305" s="89"/>
      <c r="M305" s="89"/>
      <c r="N305" s="89"/>
      <c r="O305" s="89" t="s">
        <v>982</v>
      </c>
      <c r="P305" s="89" t="s">
        <v>983</v>
      </c>
      <c r="Q305" s="475" t="s">
        <v>797</v>
      </c>
      <c r="R305" s="89"/>
      <c r="S305" s="89"/>
      <c r="T305" s="89"/>
      <c r="U305" s="89" t="s">
        <v>797</v>
      </c>
      <c r="V305" s="89"/>
      <c r="W305" s="89"/>
      <c r="X305" s="89" t="s">
        <v>948</v>
      </c>
      <c r="Y305" s="89"/>
      <c r="Z305" s="89"/>
      <c r="AA305" s="89" t="s">
        <v>961</v>
      </c>
      <c r="AB305" s="89" t="s">
        <v>962</v>
      </c>
      <c r="AC305" s="89" t="s">
        <v>963</v>
      </c>
      <c r="AD305" s="89" t="s">
        <v>797</v>
      </c>
      <c r="AE305" s="89"/>
      <c r="AF305" s="89"/>
      <c r="AG305" s="89" t="s">
        <v>949</v>
      </c>
      <c r="AH305" s="89"/>
      <c r="AI305" s="89" t="s">
        <v>951</v>
      </c>
      <c r="AJ305" s="89" t="s">
        <v>952</v>
      </c>
      <c r="AK305" s="89"/>
      <c r="AL305" s="89" t="s">
        <v>953</v>
      </c>
      <c r="AM305" s="89" t="s">
        <v>954</v>
      </c>
      <c r="AN305" s="89"/>
      <c r="AO305" s="89"/>
      <c r="AP305" s="89"/>
      <c r="AQ305" s="89"/>
      <c r="AR305" s="89"/>
      <c r="AS305" s="89"/>
      <c r="AT305" s="89"/>
      <c r="AU305" s="89" t="s">
        <v>955</v>
      </c>
      <c r="AV305" s="89"/>
      <c r="AW305" s="89"/>
      <c r="AX305" s="89"/>
      <c r="AY305" s="89"/>
      <c r="AZ305" s="89"/>
      <c r="BA305" s="89" t="s">
        <v>797</v>
      </c>
      <c r="BB305" s="441"/>
      <c r="BC305" s="441"/>
      <c r="BD305" s="89" t="s">
        <v>797</v>
      </c>
      <c r="BE305" s="89" t="s">
        <v>948</v>
      </c>
      <c r="BF305" s="441">
        <v>0</v>
      </c>
      <c r="BG305" s="441">
        <v>0</v>
      </c>
      <c r="BH305" s="441">
        <v>0</v>
      </c>
      <c r="BI305" s="441">
        <v>0</v>
      </c>
      <c r="BJ305" s="441">
        <v>0</v>
      </c>
      <c r="BK305" s="441" t="s">
        <v>797</v>
      </c>
      <c r="BL305" s="89" t="s">
        <v>797</v>
      </c>
      <c r="BM305" s="441"/>
      <c r="BN305" s="441"/>
      <c r="BO305" s="89" t="s">
        <v>797</v>
      </c>
      <c r="BP305" s="441"/>
      <c r="BQ305" s="441"/>
      <c r="BR305" s="441"/>
    </row>
    <row r="306" spans="2:70" ht="14.65" customHeight="1">
      <c r="B306" s="437">
        <f t="shared" si="7"/>
        <v>16</v>
      </c>
      <c r="C306" s="255" t="s">
        <v>183</v>
      </c>
      <c r="D306" s="438" t="s">
        <v>358</v>
      </c>
      <c r="E306" s="438" t="s">
        <v>798</v>
      </c>
      <c r="F306" s="89">
        <v>473.28</v>
      </c>
      <c r="G306" s="443">
        <v>549</v>
      </c>
      <c r="H306" s="89"/>
      <c r="I306" s="89"/>
      <c r="J306" s="89"/>
      <c r="K306" s="89"/>
      <c r="L306" s="89"/>
      <c r="M306" s="89"/>
      <c r="N306" s="89"/>
      <c r="O306" s="89" t="s">
        <v>976</v>
      </c>
      <c r="P306" s="89" t="s">
        <v>958</v>
      </c>
      <c r="Q306" s="475" t="s">
        <v>960</v>
      </c>
      <c r="R306" s="89">
        <v>6</v>
      </c>
      <c r="S306" s="89">
        <v>300</v>
      </c>
      <c r="T306" s="89">
        <v>20</v>
      </c>
      <c r="U306" s="89" t="s">
        <v>797</v>
      </c>
      <c r="V306" s="89"/>
      <c r="W306" s="89"/>
      <c r="X306" s="89" t="s">
        <v>948</v>
      </c>
      <c r="Y306" s="89"/>
      <c r="Z306" s="89"/>
      <c r="AA306" s="89" t="s">
        <v>961</v>
      </c>
      <c r="AB306" s="89" t="s">
        <v>962</v>
      </c>
      <c r="AC306" s="89" t="s">
        <v>963</v>
      </c>
      <c r="AD306" s="89" t="s">
        <v>797</v>
      </c>
      <c r="AE306" s="89"/>
      <c r="AF306" s="89"/>
      <c r="AG306" s="89" t="s">
        <v>949</v>
      </c>
      <c r="AH306" s="89"/>
      <c r="AI306" s="89" t="s">
        <v>951</v>
      </c>
      <c r="AJ306" s="89" t="s">
        <v>952</v>
      </c>
      <c r="AK306" s="89"/>
      <c r="AL306" s="89" t="s">
        <v>953</v>
      </c>
      <c r="AM306" s="89" t="s">
        <v>954</v>
      </c>
      <c r="AN306" s="89"/>
      <c r="AO306" s="89"/>
      <c r="AP306" s="89"/>
      <c r="AQ306" s="89"/>
      <c r="AR306" s="89"/>
      <c r="AS306" s="89"/>
      <c r="AT306" s="89"/>
      <c r="AU306" s="89" t="s">
        <v>955</v>
      </c>
      <c r="AV306" s="89"/>
      <c r="AW306" s="89"/>
      <c r="AX306" s="89"/>
      <c r="AY306" s="89"/>
      <c r="AZ306" s="89"/>
      <c r="BA306" s="89" t="s">
        <v>797</v>
      </c>
      <c r="BB306" s="441"/>
      <c r="BC306" s="441"/>
      <c r="BD306" s="89" t="s">
        <v>797</v>
      </c>
      <c r="BE306" s="89" t="s">
        <v>948</v>
      </c>
      <c r="BF306" s="441">
        <v>0</v>
      </c>
      <c r="BG306" s="441">
        <v>0</v>
      </c>
      <c r="BH306" s="441">
        <v>0</v>
      </c>
      <c r="BI306" s="441">
        <v>0</v>
      </c>
      <c r="BJ306" s="441">
        <v>0</v>
      </c>
      <c r="BK306" s="441" t="s">
        <v>797</v>
      </c>
      <c r="BL306" s="89" t="s">
        <v>797</v>
      </c>
      <c r="BM306" s="441"/>
      <c r="BN306" s="441"/>
      <c r="BO306" s="89" t="s">
        <v>797</v>
      </c>
      <c r="BP306" s="441"/>
      <c r="BQ306" s="441"/>
      <c r="BR306" s="441"/>
    </row>
    <row r="307" spans="2:70" ht="14.65" customHeight="1">
      <c r="B307" s="437">
        <f t="shared" si="7"/>
        <v>17</v>
      </c>
      <c r="C307" s="255" t="s">
        <v>185</v>
      </c>
      <c r="D307" s="438" t="s">
        <v>358</v>
      </c>
      <c r="E307" s="438" t="s">
        <v>798</v>
      </c>
      <c r="F307" s="89">
        <v>775</v>
      </c>
      <c r="G307" s="443">
        <v>898.99999999999989</v>
      </c>
      <c r="H307" s="89"/>
      <c r="I307" s="89"/>
      <c r="J307" s="89"/>
      <c r="K307" s="89"/>
      <c r="L307" s="89"/>
      <c r="M307" s="89"/>
      <c r="N307" s="89"/>
      <c r="O307" s="89" t="s">
        <v>978</v>
      </c>
      <c r="P307" s="89" t="s">
        <v>977</v>
      </c>
      <c r="Q307" s="475" t="s">
        <v>960</v>
      </c>
      <c r="R307" s="89">
        <v>6</v>
      </c>
      <c r="S307" s="89">
        <v>750</v>
      </c>
      <c r="T307" s="89">
        <v>50</v>
      </c>
      <c r="U307" s="89" t="s">
        <v>797</v>
      </c>
      <c r="V307" s="89"/>
      <c r="W307" s="89"/>
      <c r="X307" s="89" t="s">
        <v>948</v>
      </c>
      <c r="Y307" s="89"/>
      <c r="Z307" s="89"/>
      <c r="AA307" s="89" t="s">
        <v>961</v>
      </c>
      <c r="AB307" s="89" t="s">
        <v>962</v>
      </c>
      <c r="AC307" s="89" t="s">
        <v>963</v>
      </c>
      <c r="AD307" s="89" t="s">
        <v>797</v>
      </c>
      <c r="AE307" s="89"/>
      <c r="AF307" s="89"/>
      <c r="AG307" s="89" t="s">
        <v>949</v>
      </c>
      <c r="AH307" s="89"/>
      <c r="AI307" s="89" t="s">
        <v>951</v>
      </c>
      <c r="AJ307" s="89" t="s">
        <v>952</v>
      </c>
      <c r="AK307" s="89"/>
      <c r="AL307" s="89" t="s">
        <v>953</v>
      </c>
      <c r="AM307" s="89" t="s">
        <v>954</v>
      </c>
      <c r="AN307" s="89"/>
      <c r="AO307" s="89"/>
      <c r="AP307" s="89"/>
      <c r="AQ307" s="89"/>
      <c r="AR307" s="89"/>
      <c r="AS307" s="89"/>
      <c r="AT307" s="89"/>
      <c r="AU307" s="89" t="s">
        <v>955</v>
      </c>
      <c r="AV307" s="89"/>
      <c r="AW307" s="89"/>
      <c r="AX307" s="89"/>
      <c r="AY307" s="89"/>
      <c r="AZ307" s="89"/>
      <c r="BA307" s="89" t="s">
        <v>797</v>
      </c>
      <c r="BB307" s="441"/>
      <c r="BC307" s="441"/>
      <c r="BD307" s="89" t="s">
        <v>797</v>
      </c>
      <c r="BE307" s="89" t="s">
        <v>948</v>
      </c>
      <c r="BF307" s="441">
        <v>0</v>
      </c>
      <c r="BG307" s="441">
        <v>0</v>
      </c>
      <c r="BH307" s="441">
        <v>0</v>
      </c>
      <c r="BI307" s="441">
        <v>0</v>
      </c>
      <c r="BJ307" s="441">
        <v>0</v>
      </c>
      <c r="BK307" s="441" t="s">
        <v>797</v>
      </c>
      <c r="BL307" s="89" t="s">
        <v>797</v>
      </c>
      <c r="BM307" s="441"/>
      <c r="BN307" s="441"/>
      <c r="BO307" s="89" t="s">
        <v>797</v>
      </c>
      <c r="BP307" s="441"/>
      <c r="BQ307" s="441"/>
      <c r="BR307" s="441"/>
    </row>
    <row r="308" spans="2:70" ht="14.65" customHeight="1">
      <c r="B308" s="437">
        <f t="shared" si="7"/>
        <v>18</v>
      </c>
      <c r="C308" s="255" t="s">
        <v>195</v>
      </c>
      <c r="D308" s="438" t="s">
        <v>359</v>
      </c>
      <c r="E308" s="438" t="s">
        <v>796</v>
      </c>
      <c r="F308" s="89">
        <v>336.9</v>
      </c>
      <c r="G308" s="443">
        <v>399</v>
      </c>
      <c r="H308" s="89">
        <v>1</v>
      </c>
      <c r="I308" s="89" t="s">
        <v>950</v>
      </c>
      <c r="J308" s="89" t="s">
        <v>956</v>
      </c>
      <c r="K308" s="89" t="s">
        <v>956</v>
      </c>
      <c r="L308" s="89" t="s">
        <v>956</v>
      </c>
      <c r="M308" s="89">
        <v>5</v>
      </c>
      <c r="N308" s="89" t="s">
        <v>957</v>
      </c>
      <c r="O308" s="89" t="s">
        <v>958</v>
      </c>
      <c r="P308" s="89" t="s">
        <v>959</v>
      </c>
      <c r="Q308" s="475" t="s">
        <v>960</v>
      </c>
      <c r="R308" s="89">
        <v>6</v>
      </c>
      <c r="S308" s="89">
        <v>60</v>
      </c>
      <c r="T308" s="89">
        <v>5</v>
      </c>
      <c r="U308" s="89" t="s">
        <v>797</v>
      </c>
      <c r="V308" s="89"/>
      <c r="W308" s="89"/>
      <c r="X308" s="89" t="s">
        <v>948</v>
      </c>
      <c r="Y308" s="89"/>
      <c r="Z308" s="89"/>
      <c r="AA308" s="89" t="s">
        <v>797</v>
      </c>
      <c r="AB308" s="89"/>
      <c r="AC308" s="89"/>
      <c r="AD308" s="89" t="s">
        <v>797</v>
      </c>
      <c r="AE308" s="89"/>
      <c r="AF308" s="89"/>
      <c r="AG308" s="89" t="s">
        <v>949</v>
      </c>
      <c r="AH308" s="89"/>
      <c r="AI308" s="89"/>
      <c r="AJ308" s="89" t="s">
        <v>984</v>
      </c>
      <c r="AK308" s="89"/>
      <c r="AL308" s="89" t="s">
        <v>985</v>
      </c>
      <c r="AM308" s="89"/>
      <c r="AN308" s="89" t="s">
        <v>986</v>
      </c>
      <c r="AO308" s="89" t="s">
        <v>987</v>
      </c>
      <c r="AP308" s="89" t="s">
        <v>988</v>
      </c>
      <c r="AQ308" s="89" t="s">
        <v>989</v>
      </c>
      <c r="AR308" s="89" t="s">
        <v>990</v>
      </c>
      <c r="AS308" s="89"/>
      <c r="AT308" s="89" t="s">
        <v>991</v>
      </c>
      <c r="AU308" s="89" t="s">
        <v>955</v>
      </c>
      <c r="AV308" s="89"/>
      <c r="AW308" s="89"/>
      <c r="AX308" s="89"/>
      <c r="AY308" s="89"/>
      <c r="AZ308" s="89"/>
      <c r="BA308" s="89" t="s">
        <v>797</v>
      </c>
      <c r="BB308" s="441"/>
      <c r="BC308" s="441"/>
      <c r="BD308" s="89" t="s">
        <v>797</v>
      </c>
      <c r="BE308" s="89" t="s">
        <v>948</v>
      </c>
      <c r="BF308" s="441">
        <v>0</v>
      </c>
      <c r="BG308" s="441">
        <v>0</v>
      </c>
      <c r="BH308" s="441">
        <v>0</v>
      </c>
      <c r="BI308" s="441">
        <v>0</v>
      </c>
      <c r="BJ308" s="441">
        <v>0</v>
      </c>
      <c r="BK308" s="441" t="s">
        <v>797</v>
      </c>
      <c r="BL308" s="89" t="s">
        <v>797</v>
      </c>
      <c r="BM308" s="441"/>
      <c r="BN308" s="441"/>
      <c r="BO308" s="89" t="s">
        <v>960</v>
      </c>
      <c r="BP308" s="441" t="s">
        <v>964</v>
      </c>
      <c r="BQ308" s="441" t="s">
        <v>965</v>
      </c>
      <c r="BR308" s="441" t="s">
        <v>966</v>
      </c>
    </row>
    <row r="309" spans="2:70" ht="14.65" customHeight="1">
      <c r="B309" s="437">
        <f t="shared" si="7"/>
        <v>19</v>
      </c>
      <c r="C309" s="255" t="s">
        <v>197</v>
      </c>
      <c r="D309" s="438" t="s">
        <v>359</v>
      </c>
      <c r="E309" s="438" t="s">
        <v>796</v>
      </c>
      <c r="F309" s="89">
        <v>463.55</v>
      </c>
      <c r="G309" s="443">
        <v>549</v>
      </c>
      <c r="H309" s="89">
        <v>2</v>
      </c>
      <c r="I309" s="89" t="s">
        <v>950</v>
      </c>
      <c r="J309" s="89" t="s">
        <v>950</v>
      </c>
      <c r="K309" s="89" t="s">
        <v>956</v>
      </c>
      <c r="L309" s="89" t="s">
        <v>956</v>
      </c>
      <c r="M309" s="89">
        <v>5</v>
      </c>
      <c r="N309" s="89" t="s">
        <v>957</v>
      </c>
      <c r="O309" s="89" t="s">
        <v>982</v>
      </c>
      <c r="P309" s="89" t="s">
        <v>983</v>
      </c>
      <c r="Q309" s="475" t="s">
        <v>797</v>
      </c>
      <c r="R309" s="89"/>
      <c r="S309" s="89"/>
      <c r="T309" s="89"/>
      <c r="U309" s="89" t="s">
        <v>797</v>
      </c>
      <c r="V309" s="89"/>
      <c r="W309" s="89"/>
      <c r="X309" s="89" t="s">
        <v>948</v>
      </c>
      <c r="Y309" s="89"/>
      <c r="Z309" s="89"/>
      <c r="AA309" s="89" t="s">
        <v>797</v>
      </c>
      <c r="AB309" s="89"/>
      <c r="AC309" s="89"/>
      <c r="AD309" s="89" t="s">
        <v>797</v>
      </c>
      <c r="AE309" s="89"/>
      <c r="AF309" s="89"/>
      <c r="AG309" s="89" t="s">
        <v>949</v>
      </c>
      <c r="AH309" s="89"/>
      <c r="AI309" s="89"/>
      <c r="AJ309" s="89" t="s">
        <v>984</v>
      </c>
      <c r="AK309" s="89"/>
      <c r="AL309" s="89" t="s">
        <v>985</v>
      </c>
      <c r="AM309" s="89"/>
      <c r="AN309" s="89" t="s">
        <v>986</v>
      </c>
      <c r="AO309" s="89" t="s">
        <v>987</v>
      </c>
      <c r="AP309" s="89" t="s">
        <v>988</v>
      </c>
      <c r="AQ309" s="89" t="s">
        <v>989</v>
      </c>
      <c r="AR309" s="89" t="s">
        <v>990</v>
      </c>
      <c r="AS309" s="89"/>
      <c r="AT309" s="89" t="s">
        <v>991</v>
      </c>
      <c r="AU309" s="89" t="s">
        <v>955</v>
      </c>
      <c r="AV309" s="89"/>
      <c r="AW309" s="89"/>
      <c r="AX309" s="89"/>
      <c r="AY309" s="89"/>
      <c r="AZ309" s="89"/>
      <c r="BA309" s="89" t="s">
        <v>797</v>
      </c>
      <c r="BB309" s="441"/>
      <c r="BC309" s="441"/>
      <c r="BD309" s="89" t="s">
        <v>797</v>
      </c>
      <c r="BE309" s="89" t="s">
        <v>948</v>
      </c>
      <c r="BF309" s="441">
        <v>0</v>
      </c>
      <c r="BG309" s="441">
        <v>0</v>
      </c>
      <c r="BH309" s="441">
        <v>0</v>
      </c>
      <c r="BI309" s="441">
        <v>0</v>
      </c>
      <c r="BJ309" s="441">
        <v>0</v>
      </c>
      <c r="BK309" s="441" t="s">
        <v>797</v>
      </c>
      <c r="BL309" s="89" t="s">
        <v>797</v>
      </c>
      <c r="BM309" s="441"/>
      <c r="BN309" s="441"/>
      <c r="BO309" s="89" t="s">
        <v>797</v>
      </c>
      <c r="BP309" s="441"/>
      <c r="BQ309" s="441"/>
      <c r="BR309" s="441"/>
    </row>
    <row r="310" spans="2:70" ht="14.65" customHeight="1">
      <c r="B310" s="437">
        <f t="shared" si="7"/>
        <v>20</v>
      </c>
      <c r="C310" s="255" t="s">
        <v>199</v>
      </c>
      <c r="D310" s="438" t="s">
        <v>359</v>
      </c>
      <c r="E310" s="438" t="s">
        <v>796</v>
      </c>
      <c r="F310" s="89">
        <v>547.98</v>
      </c>
      <c r="G310" s="443">
        <v>649</v>
      </c>
      <c r="H310" s="89">
        <v>2</v>
      </c>
      <c r="I310" s="89" t="s">
        <v>950</v>
      </c>
      <c r="J310" s="89" t="s">
        <v>956</v>
      </c>
      <c r="K310" s="89" t="s">
        <v>956</v>
      </c>
      <c r="L310" s="89" t="s">
        <v>956</v>
      </c>
      <c r="M310" s="89">
        <v>5</v>
      </c>
      <c r="N310" s="89" t="s">
        <v>957</v>
      </c>
      <c r="O310" s="89" t="s">
        <v>974</v>
      </c>
      <c r="P310" s="89" t="s">
        <v>958</v>
      </c>
      <c r="Q310" s="475" t="s">
        <v>960</v>
      </c>
      <c r="R310" s="89">
        <v>6</v>
      </c>
      <c r="S310" s="89">
        <v>200</v>
      </c>
      <c r="T310" s="89">
        <v>20</v>
      </c>
      <c r="U310" s="89" t="s">
        <v>797</v>
      </c>
      <c r="V310" s="89"/>
      <c r="W310" s="89"/>
      <c r="X310" s="89" t="s">
        <v>948</v>
      </c>
      <c r="Y310" s="89"/>
      <c r="Z310" s="89"/>
      <c r="AA310" s="89" t="s">
        <v>797</v>
      </c>
      <c r="AB310" s="89"/>
      <c r="AC310" s="89"/>
      <c r="AD310" s="89" t="s">
        <v>797</v>
      </c>
      <c r="AE310" s="89"/>
      <c r="AF310" s="89"/>
      <c r="AG310" s="89" t="s">
        <v>949</v>
      </c>
      <c r="AH310" s="89"/>
      <c r="AI310" s="89"/>
      <c r="AJ310" s="89" t="s">
        <v>984</v>
      </c>
      <c r="AK310" s="89"/>
      <c r="AL310" s="89" t="s">
        <v>985</v>
      </c>
      <c r="AM310" s="89"/>
      <c r="AN310" s="89" t="s">
        <v>986</v>
      </c>
      <c r="AO310" s="89" t="s">
        <v>987</v>
      </c>
      <c r="AP310" s="89" t="s">
        <v>988</v>
      </c>
      <c r="AQ310" s="89" t="s">
        <v>989</v>
      </c>
      <c r="AR310" s="89" t="s">
        <v>990</v>
      </c>
      <c r="AS310" s="89"/>
      <c r="AT310" s="89" t="s">
        <v>991</v>
      </c>
      <c r="AU310" s="89" t="s">
        <v>955</v>
      </c>
      <c r="AV310" s="89"/>
      <c r="AW310" s="89"/>
      <c r="AX310" s="89"/>
      <c r="AY310" s="89"/>
      <c r="AZ310" s="89"/>
      <c r="BA310" s="89" t="s">
        <v>797</v>
      </c>
      <c r="BB310" s="441"/>
      <c r="BC310" s="441"/>
      <c r="BD310" s="89" t="s">
        <v>797</v>
      </c>
      <c r="BE310" s="89" t="s">
        <v>948</v>
      </c>
      <c r="BF310" s="441">
        <v>0</v>
      </c>
      <c r="BG310" s="441">
        <v>0</v>
      </c>
      <c r="BH310" s="441">
        <v>0</v>
      </c>
      <c r="BI310" s="441">
        <v>0</v>
      </c>
      <c r="BJ310" s="441">
        <v>0</v>
      </c>
      <c r="BK310" s="441" t="s">
        <v>797</v>
      </c>
      <c r="BL310" s="89" t="s">
        <v>797</v>
      </c>
      <c r="BM310" s="441"/>
      <c r="BN310" s="441"/>
      <c r="BO310" s="89" t="s">
        <v>797</v>
      </c>
      <c r="BP310" s="441"/>
      <c r="BQ310" s="441"/>
      <c r="BR310" s="441"/>
    </row>
    <row r="311" spans="2:70" ht="14.65" customHeight="1">
      <c r="B311" s="437">
        <f t="shared" si="7"/>
        <v>21</v>
      </c>
      <c r="C311" s="255" t="s">
        <v>201</v>
      </c>
      <c r="D311" s="438" t="s">
        <v>359</v>
      </c>
      <c r="E311" s="438" t="s">
        <v>796</v>
      </c>
      <c r="F311" s="89">
        <v>674.64</v>
      </c>
      <c r="G311" s="443">
        <v>799</v>
      </c>
      <c r="H311" s="89">
        <v>2</v>
      </c>
      <c r="I311" s="89" t="s">
        <v>950</v>
      </c>
      <c r="J311" s="89" t="s">
        <v>950</v>
      </c>
      <c r="K311" s="89" t="s">
        <v>956</v>
      </c>
      <c r="L311" s="89" t="s">
        <v>956</v>
      </c>
      <c r="M311" s="89">
        <v>5</v>
      </c>
      <c r="N311" s="89" t="s">
        <v>957</v>
      </c>
      <c r="O311" s="89" t="s">
        <v>976</v>
      </c>
      <c r="P311" s="89" t="s">
        <v>958</v>
      </c>
      <c r="Q311" s="475" t="s">
        <v>960</v>
      </c>
      <c r="R311" s="89">
        <v>6</v>
      </c>
      <c r="S311" s="89">
        <v>300</v>
      </c>
      <c r="T311" s="89">
        <v>300</v>
      </c>
      <c r="U311" s="89" t="s">
        <v>797</v>
      </c>
      <c r="V311" s="89"/>
      <c r="W311" s="89"/>
      <c r="X311" s="89" t="s">
        <v>948</v>
      </c>
      <c r="Y311" s="89"/>
      <c r="Z311" s="89"/>
      <c r="AA311" s="89" t="s">
        <v>797</v>
      </c>
      <c r="AB311" s="89"/>
      <c r="AC311" s="89"/>
      <c r="AD311" s="89" t="s">
        <v>797</v>
      </c>
      <c r="AE311" s="89"/>
      <c r="AF311" s="89"/>
      <c r="AG311" s="89" t="s">
        <v>949</v>
      </c>
      <c r="AH311" s="89"/>
      <c r="AI311" s="89"/>
      <c r="AJ311" s="89" t="s">
        <v>984</v>
      </c>
      <c r="AK311" s="89"/>
      <c r="AL311" s="89" t="s">
        <v>985</v>
      </c>
      <c r="AM311" s="89"/>
      <c r="AN311" s="89" t="s">
        <v>986</v>
      </c>
      <c r="AO311" s="89" t="s">
        <v>987</v>
      </c>
      <c r="AP311" s="89" t="s">
        <v>988</v>
      </c>
      <c r="AQ311" s="89" t="s">
        <v>989</v>
      </c>
      <c r="AR311" s="89" t="s">
        <v>990</v>
      </c>
      <c r="AS311" s="89" t="s">
        <v>992</v>
      </c>
      <c r="AT311" s="89" t="s">
        <v>991</v>
      </c>
      <c r="AU311" s="89" t="s">
        <v>955</v>
      </c>
      <c r="AV311" s="89"/>
      <c r="AW311" s="89"/>
      <c r="AX311" s="89"/>
      <c r="AY311" s="89"/>
      <c r="AZ311" s="89"/>
      <c r="BA311" s="89" t="s">
        <v>797</v>
      </c>
      <c r="BB311" s="441"/>
      <c r="BC311" s="441"/>
      <c r="BD311" s="89" t="s">
        <v>797</v>
      </c>
      <c r="BE311" s="89" t="s">
        <v>948</v>
      </c>
      <c r="BF311" s="441">
        <v>0</v>
      </c>
      <c r="BG311" s="441">
        <v>0</v>
      </c>
      <c r="BH311" s="441">
        <v>0</v>
      </c>
      <c r="BI311" s="441">
        <v>0</v>
      </c>
      <c r="BJ311" s="441">
        <v>0</v>
      </c>
      <c r="BK311" s="441" t="s">
        <v>797</v>
      </c>
      <c r="BL311" s="89" t="s">
        <v>797</v>
      </c>
      <c r="BM311" s="441"/>
      <c r="BN311" s="441"/>
      <c r="BO311" s="89" t="s">
        <v>960</v>
      </c>
      <c r="BP311" s="441" t="s">
        <v>964</v>
      </c>
      <c r="BQ311" s="441" t="s">
        <v>965</v>
      </c>
      <c r="BR311" s="441" t="s">
        <v>966</v>
      </c>
    </row>
    <row r="312" spans="2:70" ht="14.65" customHeight="1">
      <c r="B312" s="437">
        <f t="shared" si="7"/>
        <v>22</v>
      </c>
      <c r="C312" s="255" t="s">
        <v>203</v>
      </c>
      <c r="D312" s="438" t="s">
        <v>359</v>
      </c>
      <c r="E312" s="438" t="s">
        <v>796</v>
      </c>
      <c r="F312" s="89">
        <v>843.5</v>
      </c>
      <c r="G312" s="443">
        <v>999</v>
      </c>
      <c r="H312" s="89">
        <v>2</v>
      </c>
      <c r="I312" s="89" t="s">
        <v>950</v>
      </c>
      <c r="J312" s="89" t="s">
        <v>956</v>
      </c>
      <c r="K312" s="89" t="s">
        <v>956</v>
      </c>
      <c r="L312" s="89" t="s">
        <v>956</v>
      </c>
      <c r="M312" s="89">
        <v>5</v>
      </c>
      <c r="N312" s="89" t="s">
        <v>957</v>
      </c>
      <c r="O312" s="89" t="s">
        <v>978</v>
      </c>
      <c r="P312" s="89" t="s">
        <v>982</v>
      </c>
      <c r="Q312" s="475" t="s">
        <v>797</v>
      </c>
      <c r="R312" s="89"/>
      <c r="S312" s="89"/>
      <c r="T312" s="89"/>
      <c r="U312" s="89" t="s">
        <v>797</v>
      </c>
      <c r="V312" s="89"/>
      <c r="W312" s="89"/>
      <c r="X312" s="89" t="s">
        <v>948</v>
      </c>
      <c r="Y312" s="89"/>
      <c r="Z312" s="89"/>
      <c r="AA312" s="89" t="s">
        <v>797</v>
      </c>
      <c r="AB312" s="89"/>
      <c r="AC312" s="89"/>
      <c r="AD312" s="89" t="s">
        <v>797</v>
      </c>
      <c r="AE312" s="89"/>
      <c r="AF312" s="89"/>
      <c r="AG312" s="89" t="s">
        <v>949</v>
      </c>
      <c r="AH312" s="89"/>
      <c r="AI312" s="89"/>
      <c r="AJ312" s="89" t="s">
        <v>984</v>
      </c>
      <c r="AK312" s="89"/>
      <c r="AL312" s="89" t="s">
        <v>985</v>
      </c>
      <c r="AM312" s="89"/>
      <c r="AN312" s="89" t="s">
        <v>986</v>
      </c>
      <c r="AO312" s="89" t="s">
        <v>987</v>
      </c>
      <c r="AP312" s="89" t="s">
        <v>988</v>
      </c>
      <c r="AQ312" s="89"/>
      <c r="AR312" s="89" t="s">
        <v>993</v>
      </c>
      <c r="AS312" s="89" t="s">
        <v>992</v>
      </c>
      <c r="AT312" s="89" t="s">
        <v>991</v>
      </c>
      <c r="AU312" s="89" t="s">
        <v>955</v>
      </c>
      <c r="AV312" s="89"/>
      <c r="AW312" s="89"/>
      <c r="AX312" s="89"/>
      <c r="AY312" s="89"/>
      <c r="AZ312" s="89"/>
      <c r="BA312" s="89" t="s">
        <v>797</v>
      </c>
      <c r="BB312" s="441"/>
      <c r="BC312" s="441"/>
      <c r="BD312" s="89" t="s">
        <v>797</v>
      </c>
      <c r="BE312" s="89" t="s">
        <v>948</v>
      </c>
      <c r="BF312" s="441">
        <v>0</v>
      </c>
      <c r="BG312" s="441">
        <v>0</v>
      </c>
      <c r="BH312" s="441">
        <v>0</v>
      </c>
      <c r="BI312" s="441">
        <v>0</v>
      </c>
      <c r="BJ312" s="441">
        <v>0</v>
      </c>
      <c r="BK312" s="441" t="s">
        <v>797</v>
      </c>
      <c r="BL312" s="89" t="s">
        <v>797</v>
      </c>
      <c r="BM312" s="441"/>
      <c r="BN312" s="441"/>
      <c r="BO312" s="89" t="s">
        <v>797</v>
      </c>
      <c r="BP312" s="441"/>
      <c r="BQ312" s="441"/>
      <c r="BR312" s="441"/>
    </row>
    <row r="313" spans="2:70" ht="14.65" customHeight="1">
      <c r="B313" s="437">
        <f t="shared" si="7"/>
        <v>23</v>
      </c>
      <c r="C313" s="255" t="s">
        <v>205</v>
      </c>
      <c r="D313" s="438" t="s">
        <v>359</v>
      </c>
      <c r="E313" s="438" t="s">
        <v>796</v>
      </c>
      <c r="F313" s="89">
        <v>1265.6600000000001</v>
      </c>
      <c r="G313" s="443">
        <v>1499</v>
      </c>
      <c r="H313" s="89">
        <v>2</v>
      </c>
      <c r="I313" s="89" t="s">
        <v>950</v>
      </c>
      <c r="J313" s="89" t="s">
        <v>950</v>
      </c>
      <c r="K313" s="89" t="s">
        <v>956</v>
      </c>
      <c r="L313" s="89" t="s">
        <v>956</v>
      </c>
      <c r="M313" s="89">
        <v>5</v>
      </c>
      <c r="N313" s="89" t="s">
        <v>957</v>
      </c>
      <c r="O313" s="89" t="s">
        <v>994</v>
      </c>
      <c r="P313" s="89" t="s">
        <v>974</v>
      </c>
      <c r="Q313" s="475" t="s">
        <v>797</v>
      </c>
      <c r="R313" s="89"/>
      <c r="S313" s="89"/>
      <c r="T313" s="89"/>
      <c r="U313" s="89" t="s">
        <v>797</v>
      </c>
      <c r="V313" s="89"/>
      <c r="W313" s="89"/>
      <c r="X313" s="89" t="s">
        <v>948</v>
      </c>
      <c r="Y313" s="89"/>
      <c r="Z313" s="89"/>
      <c r="AA313" s="89" t="s">
        <v>797</v>
      </c>
      <c r="AB313" s="89"/>
      <c r="AC313" s="89"/>
      <c r="AD313" s="89" t="s">
        <v>797</v>
      </c>
      <c r="AE313" s="89"/>
      <c r="AF313" s="89"/>
      <c r="AG313" s="89" t="s">
        <v>949</v>
      </c>
      <c r="AH313" s="89"/>
      <c r="AI313" s="89"/>
      <c r="AJ313" s="89" t="s">
        <v>984</v>
      </c>
      <c r="AK313" s="89"/>
      <c r="AL313" s="89" t="s">
        <v>985</v>
      </c>
      <c r="AM313" s="89"/>
      <c r="AN313" s="89" t="s">
        <v>986</v>
      </c>
      <c r="AO313" s="89" t="s">
        <v>987</v>
      </c>
      <c r="AP313" s="89" t="s">
        <v>988</v>
      </c>
      <c r="AQ313" s="89"/>
      <c r="AR313" s="89" t="s">
        <v>993</v>
      </c>
      <c r="AS313" s="89" t="s">
        <v>992</v>
      </c>
      <c r="AT313" s="89" t="s">
        <v>991</v>
      </c>
      <c r="AU313" s="89" t="s">
        <v>955</v>
      </c>
      <c r="AV313" s="89"/>
      <c r="AW313" s="89"/>
      <c r="AX313" s="89"/>
      <c r="AY313" s="89"/>
      <c r="AZ313" s="89"/>
      <c r="BA313" s="89" t="s">
        <v>797</v>
      </c>
      <c r="BB313" s="441"/>
      <c r="BC313" s="441"/>
      <c r="BD313" s="89" t="s">
        <v>797</v>
      </c>
      <c r="BE313" s="89" t="s">
        <v>948</v>
      </c>
      <c r="BF313" s="441">
        <v>0</v>
      </c>
      <c r="BG313" s="441">
        <v>0</v>
      </c>
      <c r="BH313" s="441">
        <v>0</v>
      </c>
      <c r="BI313" s="441">
        <v>0</v>
      </c>
      <c r="BJ313" s="441">
        <v>0</v>
      </c>
      <c r="BK313" s="441" t="s">
        <v>797</v>
      </c>
      <c r="BL313" s="89" t="s">
        <v>797</v>
      </c>
      <c r="BM313" s="441"/>
      <c r="BN313" s="441"/>
      <c r="BO313" s="89" t="s">
        <v>797</v>
      </c>
      <c r="BP313" s="441"/>
      <c r="BQ313" s="441"/>
      <c r="BR313" s="441"/>
    </row>
    <row r="314" spans="2:70" ht="14.65" customHeight="1">
      <c r="B314" s="437">
        <f t="shared" si="7"/>
        <v>24</v>
      </c>
      <c r="C314" s="255" t="s">
        <v>206</v>
      </c>
      <c r="D314" s="438" t="s">
        <v>359</v>
      </c>
      <c r="E314" s="438" t="s">
        <v>796</v>
      </c>
      <c r="F314" s="89">
        <v>1510.52</v>
      </c>
      <c r="G314" s="443">
        <v>1789</v>
      </c>
      <c r="H314" s="89">
        <v>4</v>
      </c>
      <c r="I314" s="89" t="s">
        <v>950</v>
      </c>
      <c r="J314" s="89" t="s">
        <v>950</v>
      </c>
      <c r="K314" s="89" t="s">
        <v>956</v>
      </c>
      <c r="L314" s="89" t="s">
        <v>956</v>
      </c>
      <c r="M314" s="89">
        <v>5</v>
      </c>
      <c r="N314" s="89" t="s">
        <v>957</v>
      </c>
      <c r="O314" s="89" t="s">
        <v>994</v>
      </c>
      <c r="P314" s="89" t="s">
        <v>974</v>
      </c>
      <c r="Q314" s="475" t="s">
        <v>797</v>
      </c>
      <c r="R314" s="89"/>
      <c r="S314" s="89"/>
      <c r="T314" s="89"/>
      <c r="U314" s="89" t="s">
        <v>797</v>
      </c>
      <c r="V314" s="89"/>
      <c r="W314" s="89"/>
      <c r="X314" s="89" t="s">
        <v>948</v>
      </c>
      <c r="Y314" s="89"/>
      <c r="Z314" s="89"/>
      <c r="AA314" s="89" t="s">
        <v>797</v>
      </c>
      <c r="AB314" s="89"/>
      <c r="AC314" s="89"/>
      <c r="AD314" s="89" t="s">
        <v>797</v>
      </c>
      <c r="AE314" s="89"/>
      <c r="AF314" s="89"/>
      <c r="AG314" s="89" t="s">
        <v>949</v>
      </c>
      <c r="AH314" s="89"/>
      <c r="AI314" s="89"/>
      <c r="AJ314" s="89" t="s">
        <v>984</v>
      </c>
      <c r="AK314" s="89"/>
      <c r="AL314" s="89" t="s">
        <v>985</v>
      </c>
      <c r="AM314" s="89"/>
      <c r="AN314" s="89" t="s">
        <v>986</v>
      </c>
      <c r="AO314" s="89" t="s">
        <v>987</v>
      </c>
      <c r="AP314" s="89" t="s">
        <v>988</v>
      </c>
      <c r="AQ314" s="89"/>
      <c r="AR314" s="89" t="s">
        <v>993</v>
      </c>
      <c r="AS314" s="89" t="s">
        <v>992</v>
      </c>
      <c r="AT314" s="89" t="s">
        <v>991</v>
      </c>
      <c r="AU314" s="89" t="s">
        <v>955</v>
      </c>
      <c r="AV314" s="89"/>
      <c r="AW314" s="89"/>
      <c r="AX314" s="89"/>
      <c r="AY314" s="89"/>
      <c r="AZ314" s="89"/>
      <c r="BA314" s="89" t="s">
        <v>797</v>
      </c>
      <c r="BB314" s="441"/>
      <c r="BC314" s="441"/>
      <c r="BD314" s="89" t="s">
        <v>797</v>
      </c>
      <c r="BE314" s="89" t="s">
        <v>948</v>
      </c>
      <c r="BF314" s="441">
        <v>0</v>
      </c>
      <c r="BG314" s="441">
        <v>0</v>
      </c>
      <c r="BH314" s="441">
        <v>0</v>
      </c>
      <c r="BI314" s="441">
        <v>0</v>
      </c>
      <c r="BJ314" s="441">
        <v>0</v>
      </c>
      <c r="BK314" s="441" t="s">
        <v>797</v>
      </c>
      <c r="BL314" s="89" t="s">
        <v>797</v>
      </c>
      <c r="BM314" s="441"/>
      <c r="BN314" s="441"/>
      <c r="BO314" s="89" t="s">
        <v>797</v>
      </c>
      <c r="BP314" s="441"/>
      <c r="BQ314" s="441"/>
      <c r="BR314" s="441"/>
    </row>
    <row r="315" spans="2:70" ht="14.65" customHeight="1">
      <c r="B315" s="437">
        <f t="shared" si="7"/>
        <v>25</v>
      </c>
      <c r="C315" s="255" t="s">
        <v>207</v>
      </c>
      <c r="D315" s="438" t="s">
        <v>359</v>
      </c>
      <c r="E315" s="438" t="s">
        <v>796</v>
      </c>
      <c r="F315" s="89">
        <v>1932.69</v>
      </c>
      <c r="G315" s="443">
        <v>2289</v>
      </c>
      <c r="H315" s="89">
        <v>6</v>
      </c>
      <c r="I315" s="89" t="s">
        <v>950</v>
      </c>
      <c r="J315" s="89" t="s">
        <v>950</v>
      </c>
      <c r="K315" s="89" t="s">
        <v>956</v>
      </c>
      <c r="L315" s="89" t="s">
        <v>956</v>
      </c>
      <c r="M315" s="89">
        <v>5</v>
      </c>
      <c r="N315" s="89" t="s">
        <v>957</v>
      </c>
      <c r="O315" s="89" t="s">
        <v>979</v>
      </c>
      <c r="P315" s="89" t="s">
        <v>976</v>
      </c>
      <c r="Q315" s="475" t="s">
        <v>797</v>
      </c>
      <c r="R315" s="89"/>
      <c r="S315" s="89"/>
      <c r="T315" s="89"/>
      <c r="U315" s="89" t="s">
        <v>797</v>
      </c>
      <c r="V315" s="89"/>
      <c r="W315" s="89"/>
      <c r="X315" s="89" t="s">
        <v>948</v>
      </c>
      <c r="Y315" s="89"/>
      <c r="Z315" s="89"/>
      <c r="AA315" s="89" t="s">
        <v>797</v>
      </c>
      <c r="AB315" s="89"/>
      <c r="AC315" s="89"/>
      <c r="AD315" s="89" t="s">
        <v>797</v>
      </c>
      <c r="AE315" s="89"/>
      <c r="AF315" s="89"/>
      <c r="AG315" s="89" t="s">
        <v>949</v>
      </c>
      <c r="AH315" s="89"/>
      <c r="AI315" s="89"/>
      <c r="AJ315" s="89" t="s">
        <v>984</v>
      </c>
      <c r="AK315" s="89"/>
      <c r="AL315" s="89" t="s">
        <v>985</v>
      </c>
      <c r="AM315" s="89"/>
      <c r="AN315" s="89" t="s">
        <v>986</v>
      </c>
      <c r="AO315" s="89" t="s">
        <v>987</v>
      </c>
      <c r="AP315" s="89" t="s">
        <v>988</v>
      </c>
      <c r="AQ315" s="89"/>
      <c r="AR315" s="89" t="s">
        <v>993</v>
      </c>
      <c r="AS315" s="89" t="s">
        <v>992</v>
      </c>
      <c r="AT315" s="89" t="s">
        <v>991</v>
      </c>
      <c r="AU315" s="89" t="s">
        <v>955</v>
      </c>
      <c r="AV315" s="89"/>
      <c r="AW315" s="89"/>
      <c r="AX315" s="89"/>
      <c r="AY315" s="89"/>
      <c r="AZ315" s="89"/>
      <c r="BA315" s="89" t="s">
        <v>797</v>
      </c>
      <c r="BB315" s="441"/>
      <c r="BC315" s="441"/>
      <c r="BD315" s="89" t="s">
        <v>797</v>
      </c>
      <c r="BE315" s="89" t="s">
        <v>948</v>
      </c>
      <c r="BF315" s="441">
        <v>0</v>
      </c>
      <c r="BG315" s="441">
        <v>0</v>
      </c>
      <c r="BH315" s="441">
        <v>0</v>
      </c>
      <c r="BI315" s="441">
        <v>0</v>
      </c>
      <c r="BJ315" s="441">
        <v>0</v>
      </c>
      <c r="BK315" s="441" t="s">
        <v>797</v>
      </c>
      <c r="BL315" s="89" t="s">
        <v>797</v>
      </c>
      <c r="BM315" s="441"/>
      <c r="BN315" s="441"/>
      <c r="BO315" s="89" t="s">
        <v>797</v>
      </c>
      <c r="BP315" s="441"/>
      <c r="BQ315" s="441"/>
      <c r="BR315" s="441"/>
    </row>
    <row r="316" spans="2:70" ht="14.65" customHeight="1">
      <c r="B316" s="437">
        <f t="shared" si="7"/>
        <v>26</v>
      </c>
      <c r="C316" s="126" t="s">
        <v>188</v>
      </c>
      <c r="D316" s="438" t="s">
        <v>359</v>
      </c>
      <c r="E316" s="438" t="s">
        <v>798</v>
      </c>
      <c r="F316" s="89">
        <v>257.76</v>
      </c>
      <c r="G316" s="443">
        <v>299</v>
      </c>
      <c r="H316" s="89"/>
      <c r="I316" s="89"/>
      <c r="J316" s="89"/>
      <c r="K316" s="89"/>
      <c r="L316" s="89"/>
      <c r="M316" s="89"/>
      <c r="N316" s="89"/>
      <c r="O316" s="89" t="s">
        <v>972</v>
      </c>
      <c r="P316" s="89" t="s">
        <v>980</v>
      </c>
      <c r="Q316" s="475" t="s">
        <v>797</v>
      </c>
      <c r="R316" s="89">
        <v>6</v>
      </c>
      <c r="S316" s="89">
        <v>60</v>
      </c>
      <c r="T316" s="89">
        <v>5</v>
      </c>
      <c r="U316" s="89" t="s">
        <v>797</v>
      </c>
      <c r="V316" s="89"/>
      <c r="W316" s="89"/>
      <c r="X316" s="89" t="s">
        <v>948</v>
      </c>
      <c r="Y316" s="89"/>
      <c r="Z316" s="89"/>
      <c r="AA316" s="89" t="s">
        <v>797</v>
      </c>
      <c r="AB316" s="89"/>
      <c r="AC316" s="89"/>
      <c r="AD316" s="89" t="s">
        <v>797</v>
      </c>
      <c r="AE316" s="89"/>
      <c r="AF316" s="89"/>
      <c r="AG316" s="89" t="s">
        <v>949</v>
      </c>
      <c r="AH316" s="89"/>
      <c r="AI316" s="89"/>
      <c r="AJ316" s="89"/>
      <c r="AK316" s="89"/>
      <c r="AL316" s="89"/>
      <c r="AM316" s="89"/>
      <c r="AN316" s="89"/>
      <c r="AO316" s="89"/>
      <c r="AP316" s="89"/>
      <c r="AQ316" s="89"/>
      <c r="AR316" s="89"/>
      <c r="AS316" s="89"/>
      <c r="AT316" s="89"/>
      <c r="AU316" s="89"/>
      <c r="AV316" s="89"/>
      <c r="AW316" s="89"/>
      <c r="AX316" s="89"/>
      <c r="AY316" s="89"/>
      <c r="AZ316" s="89"/>
      <c r="BA316" s="89" t="s">
        <v>797</v>
      </c>
      <c r="BB316" s="441"/>
      <c r="BC316" s="441"/>
      <c r="BD316" s="89" t="s">
        <v>797</v>
      </c>
      <c r="BE316" s="89" t="s">
        <v>948</v>
      </c>
      <c r="BF316" s="441">
        <v>0</v>
      </c>
      <c r="BG316" s="441">
        <v>0</v>
      </c>
      <c r="BH316" s="441">
        <v>0</v>
      </c>
      <c r="BI316" s="441">
        <v>0</v>
      </c>
      <c r="BJ316" s="441">
        <v>0</v>
      </c>
      <c r="BK316" s="441" t="s">
        <v>797</v>
      </c>
      <c r="BL316" s="89" t="s">
        <v>797</v>
      </c>
      <c r="BM316" s="441"/>
      <c r="BN316" s="441"/>
      <c r="BO316" s="89" t="s">
        <v>797</v>
      </c>
      <c r="BP316" s="441"/>
      <c r="BQ316" s="441"/>
      <c r="BR316" s="441"/>
    </row>
    <row r="317" spans="2:70" ht="14.65" customHeight="1">
      <c r="B317" s="437">
        <f t="shared" si="7"/>
        <v>27</v>
      </c>
      <c r="C317" s="255" t="s">
        <v>190</v>
      </c>
      <c r="D317" s="438" t="s">
        <v>359</v>
      </c>
      <c r="E317" s="438" t="s">
        <v>798</v>
      </c>
      <c r="F317" s="89">
        <v>300.86</v>
      </c>
      <c r="G317" s="443">
        <v>348.99759999999998</v>
      </c>
      <c r="H317" s="89"/>
      <c r="I317" s="89"/>
      <c r="J317" s="89"/>
      <c r="K317" s="89"/>
      <c r="L317" s="89"/>
      <c r="M317" s="89"/>
      <c r="N317" s="89"/>
      <c r="O317" s="89" t="s">
        <v>977</v>
      </c>
      <c r="P317" s="89" t="s">
        <v>980</v>
      </c>
      <c r="Q317" s="475" t="s">
        <v>960</v>
      </c>
      <c r="R317" s="89">
        <v>6</v>
      </c>
      <c r="S317" s="89">
        <v>60</v>
      </c>
      <c r="T317" s="89">
        <v>5</v>
      </c>
      <c r="U317" s="89" t="s">
        <v>797</v>
      </c>
      <c r="V317" s="89"/>
      <c r="W317" s="89"/>
      <c r="X317" s="89" t="s">
        <v>948</v>
      </c>
      <c r="Y317" s="89"/>
      <c r="Z317" s="89"/>
      <c r="AA317" s="89" t="s">
        <v>797</v>
      </c>
      <c r="AB317" s="89"/>
      <c r="AC317" s="89"/>
      <c r="AD317" s="89" t="s">
        <v>797</v>
      </c>
      <c r="AE317" s="89"/>
      <c r="AF317" s="89"/>
      <c r="AG317" s="89" t="s">
        <v>949</v>
      </c>
      <c r="AH317" s="89"/>
      <c r="AI317" s="89"/>
      <c r="AJ317" s="89" t="s">
        <v>984</v>
      </c>
      <c r="AK317" s="89"/>
      <c r="AL317" s="89" t="s">
        <v>985</v>
      </c>
      <c r="AM317" s="89"/>
      <c r="AN317" s="89" t="s">
        <v>986</v>
      </c>
      <c r="AO317" s="89"/>
      <c r="AP317" s="89"/>
      <c r="AQ317" s="89"/>
      <c r="AR317" s="89"/>
      <c r="AS317" s="89"/>
      <c r="AT317" s="89"/>
      <c r="AU317" s="89" t="s">
        <v>955</v>
      </c>
      <c r="AV317" s="89"/>
      <c r="AW317" s="89"/>
      <c r="AX317" s="89"/>
      <c r="AY317" s="89"/>
      <c r="AZ317" s="89"/>
      <c r="BA317" s="89" t="s">
        <v>797</v>
      </c>
      <c r="BB317" s="441"/>
      <c r="BC317" s="441"/>
      <c r="BD317" s="89" t="s">
        <v>797</v>
      </c>
      <c r="BE317" s="89" t="s">
        <v>948</v>
      </c>
      <c r="BF317" s="441">
        <v>0</v>
      </c>
      <c r="BG317" s="441">
        <v>0</v>
      </c>
      <c r="BH317" s="441">
        <v>0</v>
      </c>
      <c r="BI317" s="441">
        <v>0</v>
      </c>
      <c r="BJ317" s="441">
        <v>0</v>
      </c>
      <c r="BK317" s="441" t="s">
        <v>797</v>
      </c>
      <c r="BL317" s="89" t="s">
        <v>797</v>
      </c>
      <c r="BM317" s="441"/>
      <c r="BN317" s="441"/>
      <c r="BO317" s="89" t="s">
        <v>797</v>
      </c>
      <c r="BP317" s="441"/>
      <c r="BQ317" s="441"/>
      <c r="BR317" s="441"/>
    </row>
    <row r="318" spans="2:70" ht="14.65" customHeight="1">
      <c r="B318" s="437">
        <f t="shared" si="7"/>
        <v>28</v>
      </c>
      <c r="C318" s="255" t="s">
        <v>192</v>
      </c>
      <c r="D318" s="438" t="s">
        <v>359</v>
      </c>
      <c r="E318" s="438" t="s">
        <v>798</v>
      </c>
      <c r="F318" s="89">
        <v>343.97</v>
      </c>
      <c r="G318" s="443">
        <v>398.99520000000001</v>
      </c>
      <c r="H318" s="89"/>
      <c r="I318" s="89"/>
      <c r="J318" s="89"/>
      <c r="K318" s="89"/>
      <c r="L318" s="89"/>
      <c r="M318" s="89"/>
      <c r="N318" s="89"/>
      <c r="O318" s="89" t="s">
        <v>981</v>
      </c>
      <c r="P318" s="89" t="s">
        <v>980</v>
      </c>
      <c r="Q318" s="475" t="s">
        <v>797</v>
      </c>
      <c r="R318" s="89"/>
      <c r="S318" s="89"/>
      <c r="T318" s="89"/>
      <c r="U318" s="89" t="s">
        <v>797</v>
      </c>
      <c r="V318" s="89"/>
      <c r="W318" s="89"/>
      <c r="X318" s="89" t="s">
        <v>948</v>
      </c>
      <c r="Y318" s="89"/>
      <c r="Z318" s="89"/>
      <c r="AA318" s="89" t="s">
        <v>797</v>
      </c>
      <c r="AB318" s="89"/>
      <c r="AC318" s="89"/>
      <c r="AD318" s="89" t="s">
        <v>797</v>
      </c>
      <c r="AE318" s="89"/>
      <c r="AF318" s="89"/>
      <c r="AG318" s="89" t="s">
        <v>949</v>
      </c>
      <c r="AH318" s="89"/>
      <c r="AI318" s="89"/>
      <c r="AJ318" s="89" t="s">
        <v>984</v>
      </c>
      <c r="AK318" s="89"/>
      <c r="AL318" s="89" t="s">
        <v>985</v>
      </c>
      <c r="AM318" s="89"/>
      <c r="AN318" s="89" t="s">
        <v>986</v>
      </c>
      <c r="AO318" s="89"/>
      <c r="AP318" s="89"/>
      <c r="AQ318" s="89"/>
      <c r="AR318" s="89"/>
      <c r="AS318" s="89"/>
      <c r="AT318" s="89"/>
      <c r="AU318" s="89" t="s">
        <v>955</v>
      </c>
      <c r="AV318" s="89"/>
      <c r="AW318" s="89"/>
      <c r="AX318" s="89"/>
      <c r="AY318" s="89"/>
      <c r="AZ318" s="89"/>
      <c r="BA318" s="89" t="s">
        <v>797</v>
      </c>
      <c r="BB318" s="441"/>
      <c r="BC318" s="441"/>
      <c r="BD318" s="89" t="s">
        <v>797</v>
      </c>
      <c r="BE318" s="89" t="s">
        <v>948</v>
      </c>
      <c r="BF318" s="441">
        <v>0</v>
      </c>
      <c r="BG318" s="441">
        <v>0</v>
      </c>
      <c r="BH318" s="441">
        <v>0</v>
      </c>
      <c r="BI318" s="441">
        <v>0</v>
      </c>
      <c r="BJ318" s="441">
        <v>0</v>
      </c>
      <c r="BK318" s="441" t="s">
        <v>797</v>
      </c>
      <c r="BL318" s="89" t="s">
        <v>797</v>
      </c>
      <c r="BM318" s="441"/>
      <c r="BN318" s="441"/>
      <c r="BO318" s="89" t="s">
        <v>797</v>
      </c>
      <c r="BP318" s="441"/>
      <c r="BQ318" s="441"/>
      <c r="BR318" s="441"/>
    </row>
    <row r="319" spans="2:70" ht="14.65" customHeight="1">
      <c r="B319" s="437">
        <f t="shared" si="7"/>
        <v>29</v>
      </c>
      <c r="C319" s="255" t="s">
        <v>193</v>
      </c>
      <c r="D319" s="438" t="s">
        <v>359</v>
      </c>
      <c r="E319" s="438" t="s">
        <v>798</v>
      </c>
      <c r="F319" s="89">
        <v>387.07</v>
      </c>
      <c r="G319" s="443">
        <v>449</v>
      </c>
      <c r="H319" s="89"/>
      <c r="I319" s="89"/>
      <c r="J319" s="89"/>
      <c r="K319" s="89"/>
      <c r="L319" s="89"/>
      <c r="M319" s="89"/>
      <c r="N319" s="89"/>
      <c r="O319" s="89" t="s">
        <v>982</v>
      </c>
      <c r="P319" s="89" t="s">
        <v>983</v>
      </c>
      <c r="Q319" s="475" t="s">
        <v>797</v>
      </c>
      <c r="R319" s="89"/>
      <c r="S319" s="89"/>
      <c r="T319" s="89"/>
      <c r="U319" s="89" t="s">
        <v>797</v>
      </c>
      <c r="V319" s="89"/>
      <c r="W319" s="89"/>
      <c r="X319" s="89" t="s">
        <v>948</v>
      </c>
      <c r="Y319" s="89"/>
      <c r="Z319" s="89"/>
      <c r="AA319" s="89" t="s">
        <v>797</v>
      </c>
      <c r="AB319" s="89"/>
      <c r="AC319" s="89"/>
      <c r="AD319" s="89" t="s">
        <v>797</v>
      </c>
      <c r="AE319" s="89"/>
      <c r="AF319" s="89"/>
      <c r="AG319" s="89" t="s">
        <v>949</v>
      </c>
      <c r="AH319" s="89"/>
      <c r="AI319" s="89"/>
      <c r="AJ319" s="89" t="s">
        <v>984</v>
      </c>
      <c r="AK319" s="89"/>
      <c r="AL319" s="89" t="s">
        <v>985</v>
      </c>
      <c r="AM319" s="89"/>
      <c r="AN319" s="89" t="s">
        <v>986</v>
      </c>
      <c r="AO319" s="89"/>
      <c r="AP319" s="89"/>
      <c r="AQ319" s="89"/>
      <c r="AR319" s="89"/>
      <c r="AS319" s="89"/>
      <c r="AT319" s="89"/>
      <c r="AU319" s="89" t="s">
        <v>955</v>
      </c>
      <c r="AV319" s="89"/>
      <c r="AW319" s="89"/>
      <c r="AX319" s="89"/>
      <c r="AY319" s="89"/>
      <c r="AZ319" s="89"/>
      <c r="BA319" s="89" t="s">
        <v>797</v>
      </c>
      <c r="BB319" s="441"/>
      <c r="BC319" s="441"/>
      <c r="BD319" s="89" t="s">
        <v>797</v>
      </c>
      <c r="BE319" s="89" t="s">
        <v>948</v>
      </c>
      <c r="BF319" s="441">
        <v>0</v>
      </c>
      <c r="BG319" s="441">
        <v>0</v>
      </c>
      <c r="BH319" s="441">
        <v>0</v>
      </c>
      <c r="BI319" s="441">
        <v>0</v>
      </c>
      <c r="BJ319" s="441">
        <v>0</v>
      </c>
      <c r="BK319" s="441" t="s">
        <v>797</v>
      </c>
      <c r="BL319" s="89" t="s">
        <v>797</v>
      </c>
      <c r="BM319" s="441"/>
      <c r="BN319" s="441"/>
      <c r="BO319" s="89" t="s">
        <v>797</v>
      </c>
      <c r="BP319" s="441"/>
      <c r="BQ319" s="441"/>
      <c r="BR319" s="441"/>
    </row>
    <row r="320" spans="2:70" ht="14.65" customHeight="1">
      <c r="B320" s="437">
        <f t="shared" si="7"/>
        <v>30</v>
      </c>
      <c r="C320" s="255" t="s">
        <v>194</v>
      </c>
      <c r="D320" s="438" t="s">
        <v>359</v>
      </c>
      <c r="E320" s="438" t="s">
        <v>798</v>
      </c>
      <c r="F320" s="89">
        <v>473.28</v>
      </c>
      <c r="G320" s="443">
        <v>549</v>
      </c>
      <c r="H320" s="89"/>
      <c r="I320" s="89"/>
      <c r="J320" s="89"/>
      <c r="K320" s="89"/>
      <c r="L320" s="89"/>
      <c r="M320" s="89"/>
      <c r="N320" s="89"/>
      <c r="O320" s="89" t="s">
        <v>976</v>
      </c>
      <c r="P320" s="89" t="s">
        <v>958</v>
      </c>
      <c r="Q320" s="475" t="s">
        <v>960</v>
      </c>
      <c r="R320" s="89">
        <v>6</v>
      </c>
      <c r="S320" s="89">
        <v>300</v>
      </c>
      <c r="T320" s="89">
        <v>20</v>
      </c>
      <c r="U320" s="89" t="s">
        <v>797</v>
      </c>
      <c r="V320" s="89"/>
      <c r="W320" s="89"/>
      <c r="X320" s="89" t="s">
        <v>948</v>
      </c>
      <c r="Y320" s="89"/>
      <c r="Z320" s="89"/>
      <c r="AA320" s="89" t="s">
        <v>797</v>
      </c>
      <c r="AB320" s="89"/>
      <c r="AC320" s="89"/>
      <c r="AD320" s="89" t="s">
        <v>797</v>
      </c>
      <c r="AE320" s="89"/>
      <c r="AF320" s="89"/>
      <c r="AG320" s="89" t="s">
        <v>949</v>
      </c>
      <c r="AH320" s="89"/>
      <c r="AI320" s="89"/>
      <c r="AJ320" s="89" t="s">
        <v>984</v>
      </c>
      <c r="AK320" s="89"/>
      <c r="AL320" s="89" t="s">
        <v>985</v>
      </c>
      <c r="AM320" s="89"/>
      <c r="AN320" s="89" t="s">
        <v>986</v>
      </c>
      <c r="AO320" s="89"/>
      <c r="AP320" s="89"/>
      <c r="AQ320" s="89"/>
      <c r="AR320" s="89"/>
      <c r="AS320" s="89"/>
      <c r="AT320" s="89"/>
      <c r="AU320" s="89" t="s">
        <v>955</v>
      </c>
      <c r="AV320" s="89"/>
      <c r="AW320" s="89"/>
      <c r="AX320" s="89"/>
      <c r="AY320" s="89"/>
      <c r="AZ320" s="89"/>
      <c r="BA320" s="89" t="s">
        <v>797</v>
      </c>
      <c r="BB320" s="441"/>
      <c r="BC320" s="441"/>
      <c r="BD320" s="89" t="s">
        <v>797</v>
      </c>
      <c r="BE320" s="89" t="s">
        <v>948</v>
      </c>
      <c r="BF320" s="441">
        <v>0</v>
      </c>
      <c r="BG320" s="441">
        <v>0</v>
      </c>
      <c r="BH320" s="441">
        <v>0</v>
      </c>
      <c r="BI320" s="441">
        <v>0</v>
      </c>
      <c r="BJ320" s="441">
        <v>0</v>
      </c>
      <c r="BK320" s="441" t="s">
        <v>797</v>
      </c>
      <c r="BL320" s="89" t="s">
        <v>797</v>
      </c>
      <c r="BM320" s="441"/>
      <c r="BN320" s="441"/>
      <c r="BO320" s="89" t="s">
        <v>797</v>
      </c>
      <c r="BP320" s="441"/>
      <c r="BQ320" s="441"/>
      <c r="BR320" s="441"/>
    </row>
    <row r="321" spans="2:70" ht="14.65" customHeight="1">
      <c r="B321" s="437">
        <f t="shared" si="7"/>
        <v>31</v>
      </c>
      <c r="C321" s="255" t="s">
        <v>196</v>
      </c>
      <c r="D321" s="438" t="s">
        <v>359</v>
      </c>
      <c r="E321" s="438" t="s">
        <v>798</v>
      </c>
      <c r="F321" s="89">
        <v>775</v>
      </c>
      <c r="G321" s="443">
        <v>898.99999999999989</v>
      </c>
      <c r="H321" s="89"/>
      <c r="I321" s="89"/>
      <c r="J321" s="89"/>
      <c r="K321" s="89"/>
      <c r="L321" s="89"/>
      <c r="M321" s="89"/>
      <c r="N321" s="89"/>
      <c r="O321" s="89" t="s">
        <v>978</v>
      </c>
      <c r="P321" s="89" t="s">
        <v>977</v>
      </c>
      <c r="Q321" s="475" t="s">
        <v>960</v>
      </c>
      <c r="R321" s="89">
        <v>6</v>
      </c>
      <c r="S321" s="89">
        <v>750</v>
      </c>
      <c r="T321" s="89">
        <v>50</v>
      </c>
      <c r="U321" s="89" t="s">
        <v>797</v>
      </c>
      <c r="V321" s="89"/>
      <c r="W321" s="89"/>
      <c r="X321" s="89" t="s">
        <v>948</v>
      </c>
      <c r="Y321" s="89"/>
      <c r="Z321" s="89"/>
      <c r="AA321" s="89" t="s">
        <v>797</v>
      </c>
      <c r="AB321" s="89"/>
      <c r="AC321" s="89"/>
      <c r="AD321" s="89" t="s">
        <v>797</v>
      </c>
      <c r="AE321" s="89"/>
      <c r="AF321" s="89"/>
      <c r="AG321" s="89" t="s">
        <v>949</v>
      </c>
      <c r="AH321" s="89"/>
      <c r="AI321" s="89"/>
      <c r="AJ321" s="89" t="s">
        <v>984</v>
      </c>
      <c r="AK321" s="89"/>
      <c r="AL321" s="89" t="s">
        <v>985</v>
      </c>
      <c r="AM321" s="89"/>
      <c r="AN321" s="89" t="s">
        <v>986</v>
      </c>
      <c r="AO321" s="89"/>
      <c r="AP321" s="89"/>
      <c r="AQ321" s="89"/>
      <c r="AR321" s="89"/>
      <c r="AS321" s="89"/>
      <c r="AT321" s="89"/>
      <c r="AU321" s="89" t="s">
        <v>955</v>
      </c>
      <c r="AV321" s="89"/>
      <c r="AW321" s="89"/>
      <c r="AX321" s="89"/>
      <c r="AY321" s="89"/>
      <c r="AZ321" s="89"/>
      <c r="BA321" s="89" t="s">
        <v>797</v>
      </c>
      <c r="BB321" s="441"/>
      <c r="BC321" s="441"/>
      <c r="BD321" s="89" t="s">
        <v>797</v>
      </c>
      <c r="BE321" s="89" t="s">
        <v>948</v>
      </c>
      <c r="BF321" s="441">
        <v>0</v>
      </c>
      <c r="BG321" s="441">
        <v>0</v>
      </c>
      <c r="BH321" s="441">
        <v>0</v>
      </c>
      <c r="BI321" s="441">
        <v>0</v>
      </c>
      <c r="BJ321" s="441">
        <v>0</v>
      </c>
      <c r="BK321" s="441" t="s">
        <v>797</v>
      </c>
      <c r="BL321" s="89" t="s">
        <v>797</v>
      </c>
      <c r="BM321" s="441"/>
      <c r="BN321" s="441"/>
      <c r="BO321" s="89" t="s">
        <v>797</v>
      </c>
      <c r="BP321" s="441"/>
      <c r="BQ321" s="441"/>
      <c r="BR321" s="441"/>
    </row>
    <row r="322" spans="2:70" ht="14.65" customHeight="1">
      <c r="B322" s="437">
        <f t="shared" si="7"/>
        <v>32</v>
      </c>
      <c r="C322" s="255" t="s">
        <v>198</v>
      </c>
      <c r="D322" s="438" t="s">
        <v>359</v>
      </c>
      <c r="E322" s="438" t="s">
        <v>798</v>
      </c>
      <c r="F322" s="89">
        <v>349</v>
      </c>
      <c r="G322" s="443">
        <v>404.84</v>
      </c>
      <c r="H322" s="89"/>
      <c r="I322" s="89"/>
      <c r="J322" s="89"/>
      <c r="K322" s="89"/>
      <c r="L322" s="89"/>
      <c r="M322" s="89"/>
      <c r="N322" s="89"/>
      <c r="O322" s="89" t="s">
        <v>967</v>
      </c>
      <c r="P322" s="89" t="s">
        <v>995</v>
      </c>
      <c r="Q322" s="475" t="s">
        <v>797</v>
      </c>
      <c r="R322" s="89"/>
      <c r="S322" s="89"/>
      <c r="T322" s="89"/>
      <c r="U322" s="89" t="s">
        <v>797</v>
      </c>
      <c r="V322" s="89"/>
      <c r="W322" s="89"/>
      <c r="X322" s="89" t="s">
        <v>948</v>
      </c>
      <c r="Y322" s="89"/>
      <c r="Z322" s="89"/>
      <c r="AA322" s="89" t="s">
        <v>797</v>
      </c>
      <c r="AB322" s="89"/>
      <c r="AC322" s="89"/>
      <c r="AD322" s="89" t="s">
        <v>797</v>
      </c>
      <c r="AE322" s="89"/>
      <c r="AF322" s="89"/>
      <c r="AG322" s="89" t="s">
        <v>949</v>
      </c>
      <c r="AH322" s="89"/>
      <c r="AI322" s="89"/>
      <c r="AJ322" s="89"/>
      <c r="AK322" s="89"/>
      <c r="AL322" s="89"/>
      <c r="AM322" s="89"/>
      <c r="AN322" s="89"/>
      <c r="AO322" s="89"/>
      <c r="AP322" s="89"/>
      <c r="AQ322" s="89"/>
      <c r="AR322" s="89"/>
      <c r="AS322" s="89"/>
      <c r="AT322" s="89"/>
      <c r="AU322" s="89"/>
      <c r="AV322" s="89"/>
      <c r="AW322" s="89"/>
      <c r="AX322" s="89"/>
      <c r="AY322" s="89"/>
      <c r="AZ322" s="89"/>
      <c r="BA322" s="89" t="s">
        <v>797</v>
      </c>
      <c r="BB322" s="441"/>
      <c r="BC322" s="441"/>
      <c r="BD322" s="89" t="s">
        <v>797</v>
      </c>
      <c r="BE322" s="89" t="s">
        <v>948</v>
      </c>
      <c r="BF322" s="441">
        <v>0</v>
      </c>
      <c r="BG322" s="441">
        <v>0</v>
      </c>
      <c r="BH322" s="441">
        <v>0</v>
      </c>
      <c r="BI322" s="441">
        <v>0</v>
      </c>
      <c r="BJ322" s="441">
        <v>0</v>
      </c>
      <c r="BK322" s="441" t="s">
        <v>797</v>
      </c>
      <c r="BL322" s="89" t="s">
        <v>797</v>
      </c>
      <c r="BM322" s="441"/>
      <c r="BN322" s="441"/>
      <c r="BO322" s="89" t="s">
        <v>797</v>
      </c>
      <c r="BP322" s="441"/>
      <c r="BQ322" s="441"/>
      <c r="BR322" s="441"/>
    </row>
    <row r="323" spans="2:70" ht="14.65" customHeight="1">
      <c r="B323" s="437">
        <f t="shared" si="7"/>
        <v>33</v>
      </c>
      <c r="C323" s="255" t="s">
        <v>200</v>
      </c>
      <c r="D323" s="438" t="s">
        <v>359</v>
      </c>
      <c r="E323" s="438" t="s">
        <v>798</v>
      </c>
      <c r="F323" s="89">
        <v>608.69000000000005</v>
      </c>
      <c r="G323" s="443">
        <v>706.08</v>
      </c>
      <c r="H323" s="89"/>
      <c r="I323" s="89"/>
      <c r="J323" s="89"/>
      <c r="K323" s="89"/>
      <c r="L323" s="89"/>
      <c r="M323" s="89"/>
      <c r="N323" s="89"/>
      <c r="O323" s="89" t="s">
        <v>977</v>
      </c>
      <c r="P323" s="89" t="s">
        <v>995</v>
      </c>
      <c r="Q323" s="475" t="s">
        <v>797</v>
      </c>
      <c r="R323" s="89"/>
      <c r="S323" s="89"/>
      <c r="T323" s="89"/>
      <c r="U323" s="89" t="s">
        <v>797</v>
      </c>
      <c r="V323" s="89"/>
      <c r="W323" s="89"/>
      <c r="X323" s="89" t="s">
        <v>948</v>
      </c>
      <c r="Y323" s="89"/>
      <c r="Z323" s="89"/>
      <c r="AA323" s="89" t="s">
        <v>797</v>
      </c>
      <c r="AB323" s="89"/>
      <c r="AC323" s="89"/>
      <c r="AD323" s="89" t="s">
        <v>797</v>
      </c>
      <c r="AE323" s="89"/>
      <c r="AF323" s="89"/>
      <c r="AG323" s="89" t="s">
        <v>949</v>
      </c>
      <c r="AH323" s="89"/>
      <c r="AI323" s="89"/>
      <c r="AJ323" s="89"/>
      <c r="AK323" s="89"/>
      <c r="AL323" s="89"/>
      <c r="AM323" s="89"/>
      <c r="AN323" s="89"/>
      <c r="AO323" s="89"/>
      <c r="AP323" s="89"/>
      <c r="AQ323" s="89"/>
      <c r="AR323" s="89"/>
      <c r="AS323" s="89"/>
      <c r="AT323" s="89"/>
      <c r="AU323" s="89"/>
      <c r="AV323" s="89"/>
      <c r="AW323" s="89"/>
      <c r="AX323" s="89"/>
      <c r="AY323" s="89"/>
      <c r="AZ323" s="89"/>
      <c r="BA323" s="89" t="s">
        <v>797</v>
      </c>
      <c r="BB323" s="441"/>
      <c r="BC323" s="441"/>
      <c r="BD323" s="89" t="s">
        <v>797</v>
      </c>
      <c r="BE323" s="89" t="s">
        <v>948</v>
      </c>
      <c r="BF323" s="441">
        <v>0</v>
      </c>
      <c r="BG323" s="441">
        <v>0</v>
      </c>
      <c r="BH323" s="441">
        <v>0</v>
      </c>
      <c r="BI323" s="441">
        <v>0</v>
      </c>
      <c r="BJ323" s="441">
        <v>0</v>
      </c>
      <c r="BK323" s="441" t="s">
        <v>797</v>
      </c>
      <c r="BL323" s="89" t="s">
        <v>797</v>
      </c>
      <c r="BM323" s="441"/>
      <c r="BN323" s="441"/>
      <c r="BO323" s="89" t="s">
        <v>797</v>
      </c>
      <c r="BP323" s="441"/>
      <c r="BQ323" s="441"/>
      <c r="BR323" s="441"/>
    </row>
    <row r="324" spans="2:70" ht="14.65" customHeight="1">
      <c r="B324" s="437">
        <f t="shared" si="7"/>
        <v>34</v>
      </c>
      <c r="C324" s="255" t="s">
        <v>202</v>
      </c>
      <c r="D324" s="438" t="s">
        <v>359</v>
      </c>
      <c r="E324" s="438" t="s">
        <v>798</v>
      </c>
      <c r="F324" s="89">
        <v>1042.5999999999999</v>
      </c>
      <c r="G324" s="443">
        <v>1209.42</v>
      </c>
      <c r="H324" s="89"/>
      <c r="I324" s="89"/>
      <c r="J324" s="89"/>
      <c r="K324" s="89"/>
      <c r="L324" s="89"/>
      <c r="M324" s="89"/>
      <c r="N324" s="89"/>
      <c r="O324" s="89" t="s">
        <v>982</v>
      </c>
      <c r="P324" s="89" t="s">
        <v>995</v>
      </c>
      <c r="Q324" s="475" t="s">
        <v>797</v>
      </c>
      <c r="R324" s="89"/>
      <c r="S324" s="89"/>
      <c r="T324" s="89"/>
      <c r="U324" s="89" t="s">
        <v>797</v>
      </c>
      <c r="V324" s="89"/>
      <c r="W324" s="89"/>
      <c r="X324" s="89" t="s">
        <v>948</v>
      </c>
      <c r="Y324" s="89"/>
      <c r="Z324" s="89"/>
      <c r="AA324" s="89" t="s">
        <v>797</v>
      </c>
      <c r="AB324" s="89"/>
      <c r="AC324" s="89"/>
      <c r="AD324" s="89" t="s">
        <v>797</v>
      </c>
      <c r="AE324" s="89"/>
      <c r="AF324" s="89"/>
      <c r="AG324" s="89" t="s">
        <v>949</v>
      </c>
      <c r="AH324" s="89"/>
      <c r="AI324" s="89"/>
      <c r="AJ324" s="89"/>
      <c r="AK324" s="89"/>
      <c r="AL324" s="89"/>
      <c r="AM324" s="89"/>
      <c r="AN324" s="89"/>
      <c r="AO324" s="89"/>
      <c r="AP324" s="89"/>
      <c r="AQ324" s="89"/>
      <c r="AR324" s="89"/>
      <c r="AS324" s="89"/>
      <c r="AT324" s="89"/>
      <c r="AU324" s="89"/>
      <c r="AV324" s="89"/>
      <c r="AW324" s="89"/>
      <c r="AX324" s="89"/>
      <c r="AY324" s="89"/>
      <c r="AZ324" s="89"/>
      <c r="BA324" s="89" t="s">
        <v>797</v>
      </c>
      <c r="BB324" s="441"/>
      <c r="BC324" s="441"/>
      <c r="BD324" s="89" t="s">
        <v>797</v>
      </c>
      <c r="BE324" s="89" t="s">
        <v>948</v>
      </c>
      <c r="BF324" s="441">
        <v>0</v>
      </c>
      <c r="BG324" s="441">
        <v>0</v>
      </c>
      <c r="BH324" s="441">
        <v>0</v>
      </c>
      <c r="BI324" s="441">
        <v>0</v>
      </c>
      <c r="BJ324" s="441">
        <v>0</v>
      </c>
      <c r="BK324" s="441" t="s">
        <v>797</v>
      </c>
      <c r="BL324" s="89" t="s">
        <v>797</v>
      </c>
      <c r="BM324" s="441"/>
      <c r="BN324" s="441"/>
      <c r="BO324" s="89" t="s">
        <v>797</v>
      </c>
      <c r="BP324" s="441"/>
      <c r="BQ324" s="441"/>
      <c r="BR324" s="441"/>
    </row>
    <row r="325" spans="2:70" ht="14.65" customHeight="1">
      <c r="B325" s="437">
        <f t="shared" si="7"/>
        <v>35</v>
      </c>
      <c r="C325" s="255" t="s">
        <v>518</v>
      </c>
      <c r="D325" s="438" t="s">
        <v>359</v>
      </c>
      <c r="E325" s="438" t="s">
        <v>796</v>
      </c>
      <c r="F325" s="89">
        <v>509.31</v>
      </c>
      <c r="G325" s="443">
        <v>599</v>
      </c>
      <c r="H325" s="89">
        <v>1</v>
      </c>
      <c r="I325" s="89" t="s">
        <v>950</v>
      </c>
      <c r="J325" s="89" t="s">
        <v>956</v>
      </c>
      <c r="K325" s="89" t="s">
        <v>956</v>
      </c>
      <c r="L325" s="89" t="s">
        <v>956</v>
      </c>
      <c r="M325" s="89">
        <v>5</v>
      </c>
      <c r="N325" s="89" t="s">
        <v>957</v>
      </c>
      <c r="O325" s="89" t="s">
        <v>958</v>
      </c>
      <c r="P325" s="89" t="s">
        <v>958</v>
      </c>
      <c r="Q325" s="475" t="s">
        <v>960</v>
      </c>
      <c r="R325" s="89">
        <v>6</v>
      </c>
      <c r="S325" s="89">
        <v>60</v>
      </c>
      <c r="T325" s="89">
        <v>60</v>
      </c>
      <c r="U325" s="89" t="s">
        <v>797</v>
      </c>
      <c r="V325" s="89"/>
      <c r="W325" s="89"/>
      <c r="X325" s="89" t="s">
        <v>948</v>
      </c>
      <c r="Y325" s="89"/>
      <c r="Z325" s="89"/>
      <c r="AA325" s="89" t="s">
        <v>797</v>
      </c>
      <c r="AB325" s="89"/>
      <c r="AC325" s="89"/>
      <c r="AD325" s="89" t="s">
        <v>797</v>
      </c>
      <c r="AE325" s="89"/>
      <c r="AF325" s="89"/>
      <c r="AG325" s="89" t="s">
        <v>949</v>
      </c>
      <c r="AH325" s="89"/>
      <c r="AI325" s="89"/>
      <c r="AJ325" s="89" t="s">
        <v>984</v>
      </c>
      <c r="AK325" s="89"/>
      <c r="AL325" s="89" t="s">
        <v>985</v>
      </c>
      <c r="AM325" s="89"/>
      <c r="AN325" s="89" t="s">
        <v>986</v>
      </c>
      <c r="AO325" s="89" t="s">
        <v>987</v>
      </c>
      <c r="AP325" s="89" t="s">
        <v>988</v>
      </c>
      <c r="AQ325" s="89"/>
      <c r="AR325" s="89" t="s">
        <v>990</v>
      </c>
      <c r="AS325" s="89"/>
      <c r="AT325" s="89" t="s">
        <v>991</v>
      </c>
      <c r="AU325" s="89" t="s">
        <v>955</v>
      </c>
      <c r="AV325" s="89"/>
      <c r="AW325" s="89"/>
      <c r="AX325" s="89"/>
      <c r="AY325" s="89"/>
      <c r="AZ325" s="89"/>
      <c r="BA325" s="89" t="s">
        <v>797</v>
      </c>
      <c r="BB325" s="441"/>
      <c r="BC325" s="441"/>
      <c r="BD325" s="89" t="s">
        <v>797</v>
      </c>
      <c r="BE325" s="89" t="s">
        <v>948</v>
      </c>
      <c r="BF325" s="441">
        <v>0</v>
      </c>
      <c r="BG325" s="441">
        <v>0</v>
      </c>
      <c r="BH325" s="441">
        <v>0</v>
      </c>
      <c r="BI325" s="441">
        <v>0</v>
      </c>
      <c r="BJ325" s="441">
        <v>0</v>
      </c>
      <c r="BK325" s="441" t="s">
        <v>797</v>
      </c>
      <c r="BL325" s="89" t="s">
        <v>797</v>
      </c>
      <c r="BM325" s="441"/>
      <c r="BN325" s="441"/>
      <c r="BO325" s="89" t="s">
        <v>797</v>
      </c>
      <c r="BP325" s="441"/>
      <c r="BQ325" s="441"/>
      <c r="BR325" s="441"/>
    </row>
    <row r="326" spans="2:70" ht="14.65" customHeight="1">
      <c r="B326" s="437">
        <f t="shared" si="7"/>
        <v>36</v>
      </c>
      <c r="C326" s="255" t="s">
        <v>521</v>
      </c>
      <c r="D326" s="438" t="s">
        <v>359</v>
      </c>
      <c r="E326" s="438" t="s">
        <v>796</v>
      </c>
      <c r="F326" s="89">
        <v>679.07</v>
      </c>
      <c r="G326" s="443">
        <v>799</v>
      </c>
      <c r="H326" s="89">
        <v>2</v>
      </c>
      <c r="I326" s="89" t="s">
        <v>950</v>
      </c>
      <c r="J326" s="89" t="s">
        <v>950</v>
      </c>
      <c r="K326" s="89" t="s">
        <v>956</v>
      </c>
      <c r="L326" s="89" t="s">
        <v>956</v>
      </c>
      <c r="M326" s="89">
        <v>5</v>
      </c>
      <c r="N326" s="89" t="s">
        <v>957</v>
      </c>
      <c r="O326" s="89" t="s">
        <v>982</v>
      </c>
      <c r="P326" s="89" t="s">
        <v>982</v>
      </c>
      <c r="Q326" s="475" t="s">
        <v>797</v>
      </c>
      <c r="R326" s="89"/>
      <c r="S326" s="89"/>
      <c r="T326" s="89"/>
      <c r="U326" s="89" t="s">
        <v>797</v>
      </c>
      <c r="V326" s="89"/>
      <c r="W326" s="89"/>
      <c r="X326" s="89" t="s">
        <v>948</v>
      </c>
      <c r="Y326" s="89"/>
      <c r="Z326" s="89"/>
      <c r="AA326" s="89" t="s">
        <v>797</v>
      </c>
      <c r="AB326" s="89"/>
      <c r="AC326" s="89"/>
      <c r="AD326" s="89" t="s">
        <v>797</v>
      </c>
      <c r="AE326" s="89"/>
      <c r="AF326" s="89"/>
      <c r="AG326" s="89" t="s">
        <v>949</v>
      </c>
      <c r="AH326" s="89"/>
      <c r="AI326" s="89"/>
      <c r="AJ326" s="89" t="s">
        <v>984</v>
      </c>
      <c r="AK326" s="89"/>
      <c r="AL326" s="89" t="s">
        <v>985</v>
      </c>
      <c r="AM326" s="89"/>
      <c r="AN326" s="89" t="s">
        <v>986</v>
      </c>
      <c r="AO326" s="89" t="s">
        <v>987</v>
      </c>
      <c r="AP326" s="89" t="s">
        <v>988</v>
      </c>
      <c r="AQ326" s="89"/>
      <c r="AR326" s="89" t="s">
        <v>990</v>
      </c>
      <c r="AS326" s="89"/>
      <c r="AT326" s="89" t="s">
        <v>991</v>
      </c>
      <c r="AU326" s="89" t="s">
        <v>955</v>
      </c>
      <c r="AV326" s="89"/>
      <c r="AW326" s="89"/>
      <c r="AX326" s="89"/>
      <c r="AY326" s="89"/>
      <c r="AZ326" s="89"/>
      <c r="BA326" s="89" t="s">
        <v>797</v>
      </c>
      <c r="BB326" s="441"/>
      <c r="BC326" s="441"/>
      <c r="BD326" s="89" t="s">
        <v>797</v>
      </c>
      <c r="BE326" s="89" t="s">
        <v>948</v>
      </c>
      <c r="BF326" s="441">
        <v>0</v>
      </c>
      <c r="BG326" s="441">
        <v>0</v>
      </c>
      <c r="BH326" s="441">
        <v>0</v>
      </c>
      <c r="BI326" s="441">
        <v>0</v>
      </c>
      <c r="BJ326" s="441">
        <v>0</v>
      </c>
      <c r="BK326" s="441" t="s">
        <v>797</v>
      </c>
      <c r="BL326" s="89" t="s">
        <v>797</v>
      </c>
      <c r="BM326" s="441"/>
      <c r="BN326" s="441"/>
      <c r="BO326" s="89" t="s">
        <v>797</v>
      </c>
      <c r="BP326" s="441"/>
      <c r="BQ326" s="441"/>
      <c r="BR326" s="441"/>
    </row>
    <row r="327" spans="2:70" ht="14.65" customHeight="1">
      <c r="B327" s="437">
        <f t="shared" si="7"/>
        <v>37</v>
      </c>
      <c r="C327" s="255" t="s">
        <v>744</v>
      </c>
      <c r="D327" s="438" t="s">
        <v>359</v>
      </c>
      <c r="E327" s="438" t="s">
        <v>796</v>
      </c>
      <c r="F327" s="89">
        <v>933.26</v>
      </c>
      <c r="G327" s="443">
        <v>1098.9992</v>
      </c>
      <c r="H327" s="89">
        <v>2</v>
      </c>
      <c r="I327" s="89" t="s">
        <v>950</v>
      </c>
      <c r="J327" s="89" t="s">
        <v>950</v>
      </c>
      <c r="K327" s="89" t="s">
        <v>956</v>
      </c>
      <c r="L327" s="89" t="s">
        <v>956</v>
      </c>
      <c r="M327" s="89">
        <v>5</v>
      </c>
      <c r="N327" s="89" t="s">
        <v>957</v>
      </c>
      <c r="O327" s="89" t="s">
        <v>976</v>
      </c>
      <c r="P327" s="89" t="s">
        <v>976</v>
      </c>
      <c r="Q327" s="475" t="s">
        <v>960</v>
      </c>
      <c r="R327" s="89">
        <v>6</v>
      </c>
      <c r="S327" s="89">
        <v>300</v>
      </c>
      <c r="T327" s="89">
        <v>300</v>
      </c>
      <c r="U327" s="89" t="s">
        <v>797</v>
      </c>
      <c r="V327" s="89"/>
      <c r="W327" s="89"/>
      <c r="X327" s="89" t="s">
        <v>948</v>
      </c>
      <c r="Y327" s="89"/>
      <c r="Z327" s="89"/>
      <c r="AA327" s="89" t="s">
        <v>797</v>
      </c>
      <c r="AB327" s="89"/>
      <c r="AC327" s="89"/>
      <c r="AD327" s="89" t="s">
        <v>797</v>
      </c>
      <c r="AE327" s="89"/>
      <c r="AF327" s="89"/>
      <c r="AG327" s="89" t="s">
        <v>949</v>
      </c>
      <c r="AH327" s="89"/>
      <c r="AI327" s="89"/>
      <c r="AJ327" s="89" t="s">
        <v>984</v>
      </c>
      <c r="AK327" s="89"/>
      <c r="AL327" s="89" t="s">
        <v>985</v>
      </c>
      <c r="AM327" s="89"/>
      <c r="AN327" s="89" t="s">
        <v>986</v>
      </c>
      <c r="AO327" s="89" t="s">
        <v>987</v>
      </c>
      <c r="AP327" s="89" t="s">
        <v>988</v>
      </c>
      <c r="AQ327" s="89"/>
      <c r="AR327" s="89" t="s">
        <v>990</v>
      </c>
      <c r="AS327" s="89" t="s">
        <v>992</v>
      </c>
      <c r="AT327" s="89" t="s">
        <v>991</v>
      </c>
      <c r="AU327" s="89" t="s">
        <v>955</v>
      </c>
      <c r="AV327" s="89"/>
      <c r="AW327" s="89"/>
      <c r="AX327" s="89"/>
      <c r="AY327" s="89"/>
      <c r="AZ327" s="89"/>
      <c r="BA327" s="89" t="s">
        <v>797</v>
      </c>
      <c r="BB327" s="441"/>
      <c r="BC327" s="441"/>
      <c r="BD327" s="89" t="s">
        <v>797</v>
      </c>
      <c r="BE327" s="89" t="s">
        <v>948</v>
      </c>
      <c r="BF327" s="441">
        <v>0</v>
      </c>
      <c r="BG327" s="441">
        <v>0</v>
      </c>
      <c r="BH327" s="441">
        <v>0</v>
      </c>
      <c r="BI327" s="441">
        <v>0</v>
      </c>
      <c r="BJ327" s="441">
        <v>0</v>
      </c>
      <c r="BK327" s="441" t="s">
        <v>797</v>
      </c>
      <c r="BL327" s="89" t="s">
        <v>797</v>
      </c>
      <c r="BM327" s="441"/>
      <c r="BN327" s="441"/>
      <c r="BO327" s="89" t="s">
        <v>797</v>
      </c>
      <c r="BP327" s="441"/>
      <c r="BQ327" s="441"/>
      <c r="BR327" s="441"/>
    </row>
    <row r="328" spans="2:70" ht="14.65" customHeight="1">
      <c r="B328" s="437">
        <f t="shared" si="7"/>
        <v>38</v>
      </c>
      <c r="C328" s="255" t="s">
        <v>502</v>
      </c>
      <c r="D328" s="438" t="s">
        <v>359</v>
      </c>
      <c r="E328" s="438" t="s">
        <v>796</v>
      </c>
      <c r="F328" s="89">
        <v>1610.49</v>
      </c>
      <c r="G328" s="443">
        <v>1899.0028</v>
      </c>
      <c r="H328" s="89">
        <v>2</v>
      </c>
      <c r="I328" s="89" t="s">
        <v>950</v>
      </c>
      <c r="J328" s="89" t="s">
        <v>950</v>
      </c>
      <c r="K328" s="89" t="s">
        <v>956</v>
      </c>
      <c r="L328" s="89" t="s">
        <v>956</v>
      </c>
      <c r="M328" s="89">
        <v>5</v>
      </c>
      <c r="N328" s="89" t="s">
        <v>957</v>
      </c>
      <c r="O328" s="89" t="s">
        <v>994</v>
      </c>
      <c r="P328" s="89" t="s">
        <v>994</v>
      </c>
      <c r="Q328" s="475" t="s">
        <v>797</v>
      </c>
      <c r="R328" s="89"/>
      <c r="S328" s="89"/>
      <c r="T328" s="89"/>
      <c r="U328" s="89" t="s">
        <v>797</v>
      </c>
      <c r="V328" s="89"/>
      <c r="W328" s="89"/>
      <c r="X328" s="89" t="s">
        <v>948</v>
      </c>
      <c r="Y328" s="89"/>
      <c r="Z328" s="89"/>
      <c r="AA328" s="89" t="s">
        <v>797</v>
      </c>
      <c r="AB328" s="89"/>
      <c r="AC328" s="89"/>
      <c r="AD328" s="89" t="s">
        <v>797</v>
      </c>
      <c r="AE328" s="89"/>
      <c r="AF328" s="89"/>
      <c r="AG328" s="89" t="s">
        <v>949</v>
      </c>
      <c r="AH328" s="89"/>
      <c r="AI328" s="89"/>
      <c r="AJ328" s="89" t="s">
        <v>984</v>
      </c>
      <c r="AK328" s="89"/>
      <c r="AL328" s="89" t="s">
        <v>985</v>
      </c>
      <c r="AM328" s="89"/>
      <c r="AN328" s="89" t="s">
        <v>986</v>
      </c>
      <c r="AO328" s="89" t="s">
        <v>987</v>
      </c>
      <c r="AP328" s="89" t="s">
        <v>988</v>
      </c>
      <c r="AQ328" s="89"/>
      <c r="AR328" s="89" t="s">
        <v>993</v>
      </c>
      <c r="AS328" s="89" t="s">
        <v>992</v>
      </c>
      <c r="AT328" s="89" t="s">
        <v>991</v>
      </c>
      <c r="AU328" s="89" t="s">
        <v>955</v>
      </c>
      <c r="AV328" s="89"/>
      <c r="AW328" s="89"/>
      <c r="AX328" s="89"/>
      <c r="AY328" s="89"/>
      <c r="AZ328" s="89"/>
      <c r="BA328" s="89" t="s">
        <v>797</v>
      </c>
      <c r="BB328" s="441"/>
      <c r="BC328" s="441"/>
      <c r="BD328" s="89" t="s">
        <v>797</v>
      </c>
      <c r="BE328" s="89" t="s">
        <v>948</v>
      </c>
      <c r="BF328" s="441">
        <v>0</v>
      </c>
      <c r="BG328" s="441">
        <v>0</v>
      </c>
      <c r="BH328" s="441">
        <v>0</v>
      </c>
      <c r="BI328" s="441">
        <v>0</v>
      </c>
      <c r="BJ328" s="441">
        <v>0</v>
      </c>
      <c r="BK328" s="441" t="s">
        <v>797</v>
      </c>
      <c r="BL328" s="89" t="s">
        <v>797</v>
      </c>
      <c r="BM328" s="441"/>
      <c r="BN328" s="441"/>
      <c r="BO328" s="89" t="s">
        <v>797</v>
      </c>
      <c r="BP328" s="441"/>
      <c r="BQ328" s="441"/>
      <c r="BR328" s="441"/>
    </row>
    <row r="329" spans="2:70" ht="14.65" customHeight="1">
      <c r="B329" s="437">
        <f t="shared" si="7"/>
        <v>39</v>
      </c>
      <c r="C329" s="255" t="s">
        <v>504</v>
      </c>
      <c r="D329" s="438" t="s">
        <v>359</v>
      </c>
      <c r="E329" s="438" t="s">
        <v>796</v>
      </c>
      <c r="F329" s="89">
        <v>1898.45</v>
      </c>
      <c r="G329" s="443">
        <v>2238.9987999999998</v>
      </c>
      <c r="H329" s="89">
        <v>4</v>
      </c>
      <c r="I329" s="89" t="s">
        <v>950</v>
      </c>
      <c r="J329" s="89" t="s">
        <v>950</v>
      </c>
      <c r="K329" s="89" t="s">
        <v>956</v>
      </c>
      <c r="L329" s="89" t="s">
        <v>956</v>
      </c>
      <c r="M329" s="89">
        <v>5</v>
      </c>
      <c r="N329" s="89" t="s">
        <v>957</v>
      </c>
      <c r="O329" s="89" t="s">
        <v>994</v>
      </c>
      <c r="P329" s="89" t="s">
        <v>994</v>
      </c>
      <c r="Q329" s="475" t="s">
        <v>797</v>
      </c>
      <c r="R329" s="89"/>
      <c r="S329" s="89"/>
      <c r="T329" s="89"/>
      <c r="U329" s="89" t="s">
        <v>797</v>
      </c>
      <c r="V329" s="89"/>
      <c r="W329" s="89"/>
      <c r="X329" s="89" t="s">
        <v>948</v>
      </c>
      <c r="Y329" s="89"/>
      <c r="Z329" s="89"/>
      <c r="AA329" s="89" t="s">
        <v>797</v>
      </c>
      <c r="AB329" s="89"/>
      <c r="AC329" s="89"/>
      <c r="AD329" s="89" t="s">
        <v>797</v>
      </c>
      <c r="AE329" s="89"/>
      <c r="AF329" s="89"/>
      <c r="AG329" s="89" t="s">
        <v>949</v>
      </c>
      <c r="AH329" s="89"/>
      <c r="AI329" s="89"/>
      <c r="AJ329" s="89" t="s">
        <v>984</v>
      </c>
      <c r="AK329" s="89"/>
      <c r="AL329" s="89" t="s">
        <v>985</v>
      </c>
      <c r="AM329" s="89"/>
      <c r="AN329" s="89" t="s">
        <v>986</v>
      </c>
      <c r="AO329" s="89" t="s">
        <v>987</v>
      </c>
      <c r="AP329" s="89" t="s">
        <v>988</v>
      </c>
      <c r="AQ329" s="89"/>
      <c r="AR329" s="89" t="s">
        <v>993</v>
      </c>
      <c r="AS329" s="89" t="s">
        <v>992</v>
      </c>
      <c r="AT329" s="89" t="s">
        <v>991</v>
      </c>
      <c r="AU329" s="89" t="s">
        <v>955</v>
      </c>
      <c r="AV329" s="89"/>
      <c r="AW329" s="89"/>
      <c r="AX329" s="89"/>
      <c r="AY329" s="89"/>
      <c r="AZ329" s="89"/>
      <c r="BA329" s="89" t="s">
        <v>797</v>
      </c>
      <c r="BB329" s="441"/>
      <c r="BC329" s="441"/>
      <c r="BD329" s="89" t="s">
        <v>797</v>
      </c>
      <c r="BE329" s="89" t="s">
        <v>948</v>
      </c>
      <c r="BF329" s="441">
        <v>0</v>
      </c>
      <c r="BG329" s="441">
        <v>0</v>
      </c>
      <c r="BH329" s="441">
        <v>0</v>
      </c>
      <c r="BI329" s="441">
        <v>0</v>
      </c>
      <c r="BJ329" s="441">
        <v>0</v>
      </c>
      <c r="BK329" s="441" t="s">
        <v>797</v>
      </c>
      <c r="BL329" s="89" t="s">
        <v>797</v>
      </c>
      <c r="BM329" s="441"/>
      <c r="BN329" s="441"/>
      <c r="BO329" s="89" t="s">
        <v>797</v>
      </c>
      <c r="BP329" s="441"/>
      <c r="BQ329" s="441"/>
      <c r="BR329" s="441"/>
    </row>
    <row r="330" spans="2:70" ht="14.65" customHeight="1">
      <c r="B330" s="437">
        <f t="shared" si="7"/>
        <v>40</v>
      </c>
      <c r="C330" s="255" t="s">
        <v>506</v>
      </c>
      <c r="D330" s="438" t="s">
        <v>359</v>
      </c>
      <c r="E330" s="438" t="s">
        <v>796</v>
      </c>
      <c r="F330" s="89">
        <v>2363.7200000000003</v>
      </c>
      <c r="G330" s="443">
        <v>2789.0047999999997</v>
      </c>
      <c r="H330" s="89">
        <v>6</v>
      </c>
      <c r="I330" s="89" t="s">
        <v>950</v>
      </c>
      <c r="J330" s="89" t="s">
        <v>950</v>
      </c>
      <c r="K330" s="89" t="s">
        <v>956</v>
      </c>
      <c r="L330" s="89" t="s">
        <v>956</v>
      </c>
      <c r="M330" s="89">
        <v>5</v>
      </c>
      <c r="N330" s="89" t="s">
        <v>957</v>
      </c>
      <c r="O330" s="89" t="s">
        <v>979</v>
      </c>
      <c r="P330" s="89" t="s">
        <v>979</v>
      </c>
      <c r="Q330" s="475" t="s">
        <v>797</v>
      </c>
      <c r="R330" s="89"/>
      <c r="S330" s="89"/>
      <c r="T330" s="89"/>
      <c r="U330" s="89" t="s">
        <v>797</v>
      </c>
      <c r="V330" s="89"/>
      <c r="W330" s="89"/>
      <c r="X330" s="89" t="s">
        <v>948</v>
      </c>
      <c r="Y330" s="89"/>
      <c r="Z330" s="89"/>
      <c r="AA330" s="89" t="s">
        <v>797</v>
      </c>
      <c r="AB330" s="89"/>
      <c r="AC330" s="89"/>
      <c r="AD330" s="89" t="s">
        <v>797</v>
      </c>
      <c r="AE330" s="89"/>
      <c r="AF330" s="89"/>
      <c r="AG330" s="89" t="s">
        <v>949</v>
      </c>
      <c r="AH330" s="89"/>
      <c r="AI330" s="89"/>
      <c r="AJ330" s="89" t="s">
        <v>984</v>
      </c>
      <c r="AK330" s="89"/>
      <c r="AL330" s="89" t="s">
        <v>985</v>
      </c>
      <c r="AM330" s="89"/>
      <c r="AN330" s="89" t="s">
        <v>986</v>
      </c>
      <c r="AO330" s="89" t="s">
        <v>987</v>
      </c>
      <c r="AP330" s="89" t="s">
        <v>988</v>
      </c>
      <c r="AQ330" s="89"/>
      <c r="AR330" s="89" t="s">
        <v>993</v>
      </c>
      <c r="AS330" s="89" t="s">
        <v>992</v>
      </c>
      <c r="AT330" s="89" t="s">
        <v>991</v>
      </c>
      <c r="AU330" s="89" t="s">
        <v>955</v>
      </c>
      <c r="AV330" s="89"/>
      <c r="AW330" s="89"/>
      <c r="AX330" s="89"/>
      <c r="AY330" s="89"/>
      <c r="AZ330" s="89"/>
      <c r="BA330" s="89" t="s">
        <v>797</v>
      </c>
      <c r="BB330" s="441"/>
      <c r="BC330" s="441"/>
      <c r="BD330" s="89" t="s">
        <v>797</v>
      </c>
      <c r="BE330" s="89" t="s">
        <v>948</v>
      </c>
      <c r="BF330" s="441">
        <v>0</v>
      </c>
      <c r="BG330" s="441">
        <v>0</v>
      </c>
      <c r="BH330" s="441">
        <v>0</v>
      </c>
      <c r="BI330" s="441">
        <v>0</v>
      </c>
      <c r="BJ330" s="441">
        <v>0</v>
      </c>
      <c r="BK330" s="441" t="s">
        <v>797</v>
      </c>
      <c r="BL330" s="89" t="s">
        <v>797</v>
      </c>
      <c r="BM330" s="441"/>
      <c r="BN330" s="441"/>
      <c r="BO330" s="89" t="s">
        <v>797</v>
      </c>
      <c r="BP330" s="441"/>
      <c r="BQ330" s="441"/>
      <c r="BR330" s="441"/>
    </row>
    <row r="331" spans="2:70" ht="14.65" customHeight="1">
      <c r="B331" s="437">
        <f t="shared" si="7"/>
        <v>41</v>
      </c>
      <c r="C331" s="255"/>
      <c r="D331" s="438"/>
      <c r="E331" s="438"/>
      <c r="F331" s="89"/>
      <c r="G331" s="89"/>
      <c r="H331" s="89"/>
      <c r="I331" s="89"/>
      <c r="J331" s="89"/>
      <c r="K331" s="89"/>
      <c r="L331" s="89"/>
      <c r="M331" s="89"/>
      <c r="N331" s="89"/>
      <c r="O331" s="89"/>
      <c r="P331" s="89"/>
      <c r="Q331" s="475" t="s">
        <v>797</v>
      </c>
      <c r="R331" s="89"/>
      <c r="S331" s="89"/>
      <c r="T331" s="89"/>
      <c r="U331" s="89"/>
      <c r="V331" s="89"/>
      <c r="W331" s="89"/>
      <c r="X331" s="89" t="s">
        <v>948</v>
      </c>
      <c r="Y331" s="89"/>
      <c r="Z331" s="89"/>
      <c r="AA331" s="89"/>
      <c r="AB331" s="89"/>
      <c r="AC331" s="89"/>
      <c r="AD331" s="89"/>
      <c r="AE331" s="89"/>
      <c r="AF331" s="89"/>
      <c r="AG331" s="89"/>
      <c r="AH331" s="89"/>
      <c r="AI331" s="89"/>
      <c r="AJ331" s="89"/>
      <c r="AK331" s="89"/>
      <c r="AL331" s="89"/>
      <c r="AM331" s="89"/>
      <c r="AN331" s="89"/>
      <c r="AO331" s="89"/>
      <c r="AP331" s="89"/>
      <c r="AQ331" s="89"/>
      <c r="AR331" s="89"/>
      <c r="AS331" s="89"/>
      <c r="AT331" s="89"/>
      <c r="AU331" s="89"/>
      <c r="AV331" s="89"/>
      <c r="AW331" s="89"/>
      <c r="AX331" s="89"/>
      <c r="AY331" s="89"/>
      <c r="AZ331" s="89"/>
      <c r="BA331" s="89" t="s">
        <v>797</v>
      </c>
      <c r="BB331" s="441"/>
      <c r="BC331" s="441"/>
      <c r="BD331" s="89" t="s">
        <v>797</v>
      </c>
      <c r="BE331" s="89" t="s">
        <v>948</v>
      </c>
      <c r="BF331" s="441"/>
      <c r="BG331" s="441"/>
      <c r="BH331" s="441"/>
      <c r="BI331" s="441"/>
      <c r="BJ331" s="441"/>
      <c r="BK331" s="441"/>
      <c r="BL331" s="89" t="s">
        <v>797</v>
      </c>
      <c r="BM331" s="441"/>
      <c r="BN331" s="441"/>
      <c r="BO331" s="89" t="s">
        <v>797</v>
      </c>
      <c r="BP331" s="441"/>
      <c r="BQ331" s="441"/>
      <c r="BR331" s="441"/>
    </row>
    <row r="332" spans="2:70" ht="14.65" customHeight="1">
      <c r="B332" s="437">
        <f t="shared" si="7"/>
        <v>42</v>
      </c>
      <c r="C332" s="255"/>
      <c r="D332" s="438"/>
      <c r="E332" s="438"/>
      <c r="F332" s="89"/>
      <c r="G332" s="89"/>
      <c r="H332" s="89"/>
      <c r="I332" s="89"/>
      <c r="J332" s="89"/>
      <c r="K332" s="89"/>
      <c r="L332" s="89"/>
      <c r="M332" s="89"/>
      <c r="N332" s="89"/>
      <c r="O332" s="89"/>
      <c r="P332" s="89"/>
      <c r="Q332" s="475" t="s">
        <v>797</v>
      </c>
      <c r="R332" s="89"/>
      <c r="S332" s="89"/>
      <c r="T332" s="89"/>
      <c r="U332" s="89"/>
      <c r="V332" s="89"/>
      <c r="W332" s="89"/>
      <c r="X332" s="89" t="s">
        <v>948</v>
      </c>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c r="AU332" s="89"/>
      <c r="AV332" s="89"/>
      <c r="AW332" s="89"/>
      <c r="AX332" s="89"/>
      <c r="AY332" s="89"/>
      <c r="AZ332" s="89"/>
      <c r="BA332" s="89" t="s">
        <v>797</v>
      </c>
      <c r="BB332" s="441"/>
      <c r="BC332" s="441"/>
      <c r="BD332" s="89" t="s">
        <v>797</v>
      </c>
      <c r="BE332" s="89" t="s">
        <v>948</v>
      </c>
      <c r="BF332" s="441"/>
      <c r="BG332" s="441"/>
      <c r="BH332" s="441"/>
      <c r="BI332" s="441"/>
      <c r="BJ332" s="441"/>
      <c r="BK332" s="441"/>
      <c r="BL332" s="89" t="s">
        <v>797</v>
      </c>
      <c r="BM332" s="441"/>
      <c r="BN332" s="441"/>
      <c r="BO332" s="89" t="s">
        <v>797</v>
      </c>
      <c r="BP332" s="441"/>
      <c r="BQ332" s="441"/>
      <c r="BR332" s="441"/>
    </row>
    <row r="333" spans="2:70" ht="14.65" customHeight="1">
      <c r="B333" s="437">
        <f t="shared" si="7"/>
        <v>43</v>
      </c>
      <c r="C333" s="255"/>
      <c r="D333" s="438"/>
      <c r="E333" s="438"/>
      <c r="F333" s="89"/>
      <c r="G333" s="89"/>
      <c r="H333" s="89"/>
      <c r="I333" s="89"/>
      <c r="J333" s="89"/>
      <c r="K333" s="89"/>
      <c r="L333" s="89"/>
      <c r="M333" s="89"/>
      <c r="N333" s="89"/>
      <c r="O333" s="89"/>
      <c r="P333" s="89"/>
      <c r="Q333" s="475" t="s">
        <v>797</v>
      </c>
      <c r="R333" s="89"/>
      <c r="S333" s="89"/>
      <c r="T333" s="89"/>
      <c r="U333" s="89"/>
      <c r="V333" s="89"/>
      <c r="W333" s="89"/>
      <c r="X333" s="89" t="s">
        <v>948</v>
      </c>
      <c r="Y333" s="89"/>
      <c r="Z333" s="89"/>
      <c r="AA333" s="89"/>
      <c r="AB333" s="89"/>
      <c r="AC333" s="89"/>
      <c r="AD333" s="89"/>
      <c r="AE333" s="89"/>
      <c r="AF333" s="89"/>
      <c r="AG333" s="89"/>
      <c r="AH333" s="89"/>
      <c r="AI333" s="89"/>
      <c r="AJ333" s="89"/>
      <c r="AK333" s="89"/>
      <c r="AL333" s="89"/>
      <c r="AM333" s="89"/>
      <c r="AN333" s="89"/>
      <c r="AO333" s="89"/>
      <c r="AP333" s="89"/>
      <c r="AQ333" s="89"/>
      <c r="AR333" s="89"/>
      <c r="AS333" s="89"/>
      <c r="AT333" s="89"/>
      <c r="AU333" s="89"/>
      <c r="AV333" s="89"/>
      <c r="AW333" s="89"/>
      <c r="AX333" s="89"/>
      <c r="AY333" s="89"/>
      <c r="AZ333" s="89"/>
      <c r="BA333" s="89" t="s">
        <v>797</v>
      </c>
      <c r="BB333" s="441"/>
      <c r="BC333" s="441"/>
      <c r="BD333" s="89" t="s">
        <v>797</v>
      </c>
      <c r="BE333" s="89" t="s">
        <v>948</v>
      </c>
      <c r="BF333" s="441"/>
      <c r="BG333" s="441"/>
      <c r="BH333" s="441"/>
      <c r="BI333" s="441"/>
      <c r="BJ333" s="441"/>
      <c r="BK333" s="441"/>
      <c r="BL333" s="89" t="s">
        <v>797</v>
      </c>
      <c r="BM333" s="441"/>
      <c r="BN333" s="441"/>
      <c r="BO333" s="89" t="s">
        <v>797</v>
      </c>
      <c r="BP333" s="441"/>
      <c r="BQ333" s="441"/>
      <c r="BR333" s="441"/>
    </row>
    <row r="334" spans="2:70" ht="14.65" customHeight="1">
      <c r="B334" s="437">
        <f t="shared" si="7"/>
        <v>44</v>
      </c>
      <c r="C334" s="255"/>
      <c r="D334" s="438"/>
      <c r="E334" s="438"/>
      <c r="F334" s="89"/>
      <c r="G334" s="89"/>
      <c r="H334" s="89"/>
      <c r="I334" s="89"/>
      <c r="J334" s="89"/>
      <c r="K334" s="89"/>
      <c r="L334" s="89"/>
      <c r="M334" s="89"/>
      <c r="N334" s="89"/>
      <c r="O334" s="89"/>
      <c r="P334" s="89"/>
      <c r="Q334" s="475" t="s">
        <v>797</v>
      </c>
      <c r="R334" s="89"/>
      <c r="S334" s="89"/>
      <c r="T334" s="89"/>
      <c r="U334" s="89"/>
      <c r="V334" s="89"/>
      <c r="W334" s="89"/>
      <c r="X334" s="89" t="s">
        <v>948</v>
      </c>
      <c r="Y334" s="89"/>
      <c r="Z334" s="89"/>
      <c r="AA334" s="89"/>
      <c r="AB334" s="89"/>
      <c r="AC334" s="89"/>
      <c r="AD334" s="89"/>
      <c r="AE334" s="89"/>
      <c r="AF334" s="89"/>
      <c r="AG334" s="89"/>
      <c r="AH334" s="89"/>
      <c r="AI334" s="89"/>
      <c r="AJ334" s="89"/>
      <c r="AK334" s="89"/>
      <c r="AL334" s="89"/>
      <c r="AM334" s="89"/>
      <c r="AN334" s="89"/>
      <c r="AO334" s="89"/>
      <c r="AP334" s="89"/>
      <c r="AQ334" s="89"/>
      <c r="AR334" s="89"/>
      <c r="AS334" s="89"/>
      <c r="AT334" s="89"/>
      <c r="AU334" s="89"/>
      <c r="AV334" s="89"/>
      <c r="AW334" s="89"/>
      <c r="AX334" s="89"/>
      <c r="AY334" s="89"/>
      <c r="AZ334" s="89"/>
      <c r="BA334" s="89" t="s">
        <v>797</v>
      </c>
      <c r="BB334" s="441"/>
      <c r="BC334" s="441"/>
      <c r="BD334" s="89" t="s">
        <v>797</v>
      </c>
      <c r="BE334" s="89" t="s">
        <v>948</v>
      </c>
      <c r="BF334" s="441"/>
      <c r="BG334" s="441"/>
      <c r="BH334" s="441"/>
      <c r="BI334" s="441"/>
      <c r="BJ334" s="441"/>
      <c r="BK334" s="441"/>
      <c r="BL334" s="89" t="s">
        <v>797</v>
      </c>
      <c r="BM334" s="441"/>
      <c r="BN334" s="441"/>
      <c r="BO334" s="89" t="s">
        <v>797</v>
      </c>
      <c r="BP334" s="441"/>
      <c r="BQ334" s="441"/>
      <c r="BR334" s="441"/>
    </row>
    <row r="335" spans="2:70" ht="14.65" customHeight="1">
      <c r="B335" s="437">
        <f t="shared" si="7"/>
        <v>45</v>
      </c>
      <c r="C335" s="255"/>
      <c r="D335" s="438"/>
      <c r="E335" s="438"/>
      <c r="F335" s="89"/>
      <c r="G335" s="89"/>
      <c r="H335" s="89"/>
      <c r="I335" s="89"/>
      <c r="J335" s="89"/>
      <c r="K335" s="89"/>
      <c r="L335" s="89"/>
      <c r="M335" s="89"/>
      <c r="N335" s="89"/>
      <c r="O335" s="89"/>
      <c r="P335" s="89"/>
      <c r="Q335" s="475" t="s">
        <v>797</v>
      </c>
      <c r="R335" s="89"/>
      <c r="S335" s="89"/>
      <c r="T335" s="89"/>
      <c r="U335" s="89"/>
      <c r="V335" s="89"/>
      <c r="W335" s="89"/>
      <c r="X335" s="89" t="s">
        <v>948</v>
      </c>
      <c r="Y335" s="89"/>
      <c r="Z335" s="89"/>
      <c r="AA335" s="89"/>
      <c r="AB335" s="89"/>
      <c r="AC335" s="89"/>
      <c r="AD335" s="89"/>
      <c r="AE335" s="89"/>
      <c r="AF335" s="89"/>
      <c r="AG335" s="89"/>
      <c r="AH335" s="89"/>
      <c r="AI335" s="89"/>
      <c r="AJ335" s="89"/>
      <c r="AK335" s="89"/>
      <c r="AL335" s="89"/>
      <c r="AM335" s="89"/>
      <c r="AN335" s="89"/>
      <c r="AO335" s="89"/>
      <c r="AP335" s="89"/>
      <c r="AQ335" s="89"/>
      <c r="AR335" s="89"/>
      <c r="AS335" s="89"/>
      <c r="AT335" s="89"/>
      <c r="AU335" s="89"/>
      <c r="AV335" s="89"/>
      <c r="AW335" s="89"/>
      <c r="AX335" s="89"/>
      <c r="AY335" s="89"/>
      <c r="AZ335" s="89"/>
      <c r="BA335" s="89" t="s">
        <v>797</v>
      </c>
      <c r="BB335" s="441"/>
      <c r="BC335" s="441"/>
      <c r="BD335" s="89" t="s">
        <v>797</v>
      </c>
      <c r="BE335" s="89" t="s">
        <v>948</v>
      </c>
      <c r="BF335" s="441"/>
      <c r="BG335" s="441"/>
      <c r="BH335" s="441"/>
      <c r="BI335" s="441"/>
      <c r="BJ335" s="441"/>
      <c r="BK335" s="441"/>
      <c r="BL335" s="89" t="s">
        <v>797</v>
      </c>
      <c r="BM335" s="441"/>
      <c r="BN335" s="441"/>
      <c r="BO335" s="89" t="s">
        <v>797</v>
      </c>
      <c r="BP335" s="441"/>
      <c r="BQ335" s="441"/>
      <c r="BR335" s="441"/>
    </row>
    <row r="336" spans="2:70" ht="14.65" customHeight="1">
      <c r="B336" s="437">
        <f t="shared" si="7"/>
        <v>46</v>
      </c>
      <c r="C336" s="255"/>
      <c r="D336" s="438"/>
      <c r="E336" s="438"/>
      <c r="F336" s="89"/>
      <c r="G336" s="89"/>
      <c r="H336" s="89"/>
      <c r="I336" s="89"/>
      <c r="J336" s="89"/>
      <c r="K336" s="89"/>
      <c r="L336" s="89"/>
      <c r="M336" s="89"/>
      <c r="N336" s="89"/>
      <c r="O336" s="89"/>
      <c r="P336" s="89"/>
      <c r="Q336" s="475" t="s">
        <v>797</v>
      </c>
      <c r="R336" s="89"/>
      <c r="S336" s="89"/>
      <c r="T336" s="89"/>
      <c r="U336" s="89"/>
      <c r="V336" s="89"/>
      <c r="W336" s="89"/>
      <c r="X336" s="89" t="s">
        <v>948</v>
      </c>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c r="AU336" s="89"/>
      <c r="AV336" s="89"/>
      <c r="AW336" s="89"/>
      <c r="AX336" s="89"/>
      <c r="AY336" s="89"/>
      <c r="AZ336" s="89"/>
      <c r="BA336" s="89" t="s">
        <v>797</v>
      </c>
      <c r="BB336" s="441"/>
      <c r="BC336" s="441"/>
      <c r="BD336" s="89" t="s">
        <v>797</v>
      </c>
      <c r="BE336" s="89" t="s">
        <v>948</v>
      </c>
      <c r="BF336" s="441"/>
      <c r="BG336" s="441"/>
      <c r="BH336" s="441"/>
      <c r="BI336" s="441"/>
      <c r="BJ336" s="441"/>
      <c r="BK336" s="441"/>
      <c r="BL336" s="89" t="s">
        <v>797</v>
      </c>
      <c r="BM336" s="441"/>
      <c r="BN336" s="441"/>
      <c r="BO336" s="89" t="s">
        <v>797</v>
      </c>
      <c r="BP336" s="441"/>
      <c r="BQ336" s="441"/>
      <c r="BR336" s="441"/>
    </row>
    <row r="337" spans="2:70" ht="14.65" customHeight="1">
      <c r="B337" s="437">
        <f t="shared" si="7"/>
        <v>47</v>
      </c>
      <c r="C337" s="255"/>
      <c r="D337" s="438"/>
      <c r="E337" s="438"/>
      <c r="F337" s="89"/>
      <c r="G337" s="89"/>
      <c r="H337" s="89"/>
      <c r="I337" s="89"/>
      <c r="J337" s="89"/>
      <c r="K337" s="89"/>
      <c r="L337" s="89"/>
      <c r="M337" s="89"/>
      <c r="N337" s="89"/>
      <c r="O337" s="89"/>
      <c r="P337" s="89"/>
      <c r="Q337" s="475" t="s">
        <v>797</v>
      </c>
      <c r="R337" s="89"/>
      <c r="S337" s="89"/>
      <c r="T337" s="89"/>
      <c r="U337" s="89"/>
      <c r="V337" s="89"/>
      <c r="W337" s="89"/>
      <c r="X337" s="89" t="s">
        <v>948</v>
      </c>
      <c r="Y337" s="89"/>
      <c r="Z337" s="89"/>
      <c r="AA337" s="89"/>
      <c r="AB337" s="89"/>
      <c r="AC337" s="89"/>
      <c r="AD337" s="89"/>
      <c r="AE337" s="89"/>
      <c r="AF337" s="89"/>
      <c r="AG337" s="89"/>
      <c r="AH337" s="89"/>
      <c r="AI337" s="89"/>
      <c r="AJ337" s="89"/>
      <c r="AK337" s="89"/>
      <c r="AL337" s="89"/>
      <c r="AM337" s="89"/>
      <c r="AN337" s="89"/>
      <c r="AO337" s="89"/>
      <c r="AP337" s="89"/>
      <c r="AQ337" s="89"/>
      <c r="AR337" s="89"/>
      <c r="AS337" s="89"/>
      <c r="AT337" s="89"/>
      <c r="AU337" s="89"/>
      <c r="AV337" s="89"/>
      <c r="AW337" s="89"/>
      <c r="AX337" s="89"/>
      <c r="AY337" s="89"/>
      <c r="AZ337" s="89"/>
      <c r="BA337" s="89" t="s">
        <v>797</v>
      </c>
      <c r="BB337" s="441"/>
      <c r="BC337" s="441"/>
      <c r="BD337" s="89" t="s">
        <v>797</v>
      </c>
      <c r="BE337" s="89" t="s">
        <v>948</v>
      </c>
      <c r="BF337" s="441"/>
      <c r="BG337" s="441"/>
      <c r="BH337" s="441"/>
      <c r="BI337" s="441"/>
      <c r="BJ337" s="441"/>
      <c r="BK337" s="441"/>
      <c r="BL337" s="89" t="s">
        <v>797</v>
      </c>
      <c r="BM337" s="441"/>
      <c r="BN337" s="441"/>
      <c r="BO337" s="89" t="s">
        <v>797</v>
      </c>
      <c r="BP337" s="441"/>
      <c r="BQ337" s="441"/>
      <c r="BR337" s="441"/>
    </row>
    <row r="338" spans="2:70" ht="14.65" customHeight="1">
      <c r="B338" s="437">
        <f t="shared" si="7"/>
        <v>48</v>
      </c>
      <c r="C338" s="255"/>
      <c r="D338" s="438"/>
      <c r="E338" s="438"/>
      <c r="F338" s="89"/>
      <c r="G338" s="89"/>
      <c r="H338" s="89"/>
      <c r="I338" s="89"/>
      <c r="J338" s="89"/>
      <c r="K338" s="89"/>
      <c r="L338" s="89"/>
      <c r="M338" s="89"/>
      <c r="N338" s="89"/>
      <c r="O338" s="89"/>
      <c r="P338" s="89"/>
      <c r="Q338" s="475" t="s">
        <v>797</v>
      </c>
      <c r="R338" s="89"/>
      <c r="S338" s="89"/>
      <c r="T338" s="89"/>
      <c r="U338" s="89"/>
      <c r="V338" s="89"/>
      <c r="W338" s="89"/>
      <c r="X338" s="89" t="s">
        <v>948</v>
      </c>
      <c r="Y338" s="89"/>
      <c r="Z338" s="89"/>
      <c r="AA338" s="89"/>
      <c r="AB338" s="89"/>
      <c r="AC338" s="89"/>
      <c r="AD338" s="89"/>
      <c r="AE338" s="89"/>
      <c r="AF338" s="89"/>
      <c r="AG338" s="89"/>
      <c r="AH338" s="89"/>
      <c r="AI338" s="89"/>
      <c r="AJ338" s="89"/>
      <c r="AK338" s="89"/>
      <c r="AL338" s="89"/>
      <c r="AM338" s="89"/>
      <c r="AN338" s="89"/>
      <c r="AO338" s="89"/>
      <c r="AP338" s="89"/>
      <c r="AQ338" s="89"/>
      <c r="AR338" s="89"/>
      <c r="AS338" s="89"/>
      <c r="AT338" s="89"/>
      <c r="AU338" s="89"/>
      <c r="AV338" s="89"/>
      <c r="AW338" s="89"/>
      <c r="AX338" s="89"/>
      <c r="AY338" s="89"/>
      <c r="AZ338" s="89"/>
      <c r="BA338" s="89" t="s">
        <v>797</v>
      </c>
      <c r="BB338" s="441"/>
      <c r="BC338" s="441"/>
      <c r="BD338" s="89" t="s">
        <v>797</v>
      </c>
      <c r="BE338" s="89" t="s">
        <v>948</v>
      </c>
      <c r="BF338" s="441"/>
      <c r="BG338" s="441"/>
      <c r="BH338" s="441"/>
      <c r="BI338" s="441"/>
      <c r="BJ338" s="441"/>
      <c r="BK338" s="441"/>
      <c r="BL338" s="89" t="s">
        <v>797</v>
      </c>
      <c r="BM338" s="441"/>
      <c r="BN338" s="441"/>
      <c r="BO338" s="89" t="s">
        <v>797</v>
      </c>
      <c r="BP338" s="441"/>
      <c r="BQ338" s="441"/>
      <c r="BR338" s="441"/>
    </row>
    <row r="339" spans="2:70" ht="14.65" customHeight="1">
      <c r="B339" s="437">
        <f t="shared" si="7"/>
        <v>49</v>
      </c>
      <c r="C339" s="255"/>
      <c r="D339" s="438"/>
      <c r="E339" s="438"/>
      <c r="F339" s="89"/>
      <c r="G339" s="89"/>
      <c r="H339" s="89"/>
      <c r="I339" s="89"/>
      <c r="J339" s="89"/>
      <c r="K339" s="89"/>
      <c r="L339" s="89"/>
      <c r="M339" s="89"/>
      <c r="N339" s="89"/>
      <c r="O339" s="89"/>
      <c r="P339" s="89"/>
      <c r="Q339" s="475" t="s">
        <v>797</v>
      </c>
      <c r="R339" s="89"/>
      <c r="S339" s="89"/>
      <c r="T339" s="89"/>
      <c r="U339" s="89"/>
      <c r="V339" s="89"/>
      <c r="W339" s="89"/>
      <c r="X339" s="89" t="s">
        <v>948</v>
      </c>
      <c r="Y339" s="89"/>
      <c r="Z339" s="89"/>
      <c r="AA339" s="89"/>
      <c r="AB339" s="89"/>
      <c r="AC339" s="89"/>
      <c r="AD339" s="89"/>
      <c r="AE339" s="89"/>
      <c r="AF339" s="89"/>
      <c r="AG339" s="89"/>
      <c r="AH339" s="89"/>
      <c r="AI339" s="89"/>
      <c r="AJ339" s="89"/>
      <c r="AK339" s="89"/>
      <c r="AL339" s="89"/>
      <c r="AM339" s="89"/>
      <c r="AN339" s="89"/>
      <c r="AO339" s="89"/>
      <c r="AP339" s="89"/>
      <c r="AQ339" s="89"/>
      <c r="AR339" s="89"/>
      <c r="AS339" s="89"/>
      <c r="AT339" s="89"/>
      <c r="AU339" s="89"/>
      <c r="AV339" s="89"/>
      <c r="AW339" s="89"/>
      <c r="AX339" s="89"/>
      <c r="AY339" s="89"/>
      <c r="AZ339" s="89"/>
      <c r="BA339" s="89" t="s">
        <v>797</v>
      </c>
      <c r="BB339" s="441"/>
      <c r="BC339" s="441"/>
      <c r="BD339" s="89" t="s">
        <v>797</v>
      </c>
      <c r="BE339" s="89" t="s">
        <v>948</v>
      </c>
      <c r="BF339" s="441"/>
      <c r="BG339" s="441"/>
      <c r="BH339" s="441"/>
      <c r="BI339" s="441"/>
      <c r="BJ339" s="441"/>
      <c r="BK339" s="441"/>
      <c r="BL339" s="89" t="s">
        <v>797</v>
      </c>
      <c r="BM339" s="441"/>
      <c r="BN339" s="441"/>
      <c r="BO339" s="89" t="s">
        <v>797</v>
      </c>
      <c r="BP339" s="441"/>
      <c r="BQ339" s="441"/>
      <c r="BR339" s="441"/>
    </row>
    <row r="340" spans="2:70" ht="14.65" customHeight="1">
      <c r="B340" s="437">
        <f t="shared" si="7"/>
        <v>50</v>
      </c>
      <c r="C340" s="255"/>
      <c r="D340" s="438"/>
      <c r="E340" s="438"/>
      <c r="F340" s="89"/>
      <c r="G340" s="89"/>
      <c r="H340" s="89"/>
      <c r="I340" s="89"/>
      <c r="J340" s="89"/>
      <c r="K340" s="89"/>
      <c r="L340" s="89"/>
      <c r="M340" s="89"/>
      <c r="N340" s="89"/>
      <c r="O340" s="89"/>
      <c r="P340" s="89"/>
      <c r="Q340" s="475" t="s">
        <v>797</v>
      </c>
      <c r="R340" s="89"/>
      <c r="S340" s="89"/>
      <c r="T340" s="89"/>
      <c r="U340" s="89"/>
      <c r="V340" s="89"/>
      <c r="W340" s="89"/>
      <c r="X340" s="89" t="s">
        <v>948</v>
      </c>
      <c r="Y340" s="89"/>
      <c r="Z340" s="89"/>
      <c r="AA340" s="89"/>
      <c r="AB340" s="89"/>
      <c r="AC340" s="89"/>
      <c r="AD340" s="89"/>
      <c r="AE340" s="89"/>
      <c r="AF340" s="89"/>
      <c r="AG340" s="89"/>
      <c r="AH340" s="89"/>
      <c r="AI340" s="89"/>
      <c r="AJ340" s="89"/>
      <c r="AK340" s="89"/>
      <c r="AL340" s="89"/>
      <c r="AM340" s="89"/>
      <c r="AN340" s="89"/>
      <c r="AO340" s="89"/>
      <c r="AP340" s="89"/>
      <c r="AQ340" s="89"/>
      <c r="AR340" s="89"/>
      <c r="AS340" s="89"/>
      <c r="AT340" s="89"/>
      <c r="AU340" s="89"/>
      <c r="AV340" s="89"/>
      <c r="AW340" s="89"/>
      <c r="AX340" s="89"/>
      <c r="AY340" s="89"/>
      <c r="AZ340" s="89"/>
      <c r="BA340" s="89" t="s">
        <v>797</v>
      </c>
      <c r="BB340" s="441"/>
      <c r="BC340" s="441"/>
      <c r="BD340" s="89" t="s">
        <v>797</v>
      </c>
      <c r="BE340" s="89" t="s">
        <v>948</v>
      </c>
      <c r="BF340" s="441"/>
      <c r="BG340" s="441"/>
      <c r="BH340" s="441"/>
      <c r="BI340" s="441"/>
      <c r="BJ340" s="441"/>
      <c r="BK340" s="441"/>
      <c r="BL340" s="89" t="s">
        <v>797</v>
      </c>
      <c r="BM340" s="441"/>
      <c r="BN340" s="441"/>
      <c r="BO340" s="89" t="s">
        <v>797</v>
      </c>
      <c r="BP340" s="441"/>
      <c r="BQ340" s="441"/>
      <c r="BR340" s="441"/>
    </row>
    <row r="341" spans="2:70" ht="14.65" customHeight="1">
      <c r="B341" s="437">
        <f t="shared" si="7"/>
        <v>51</v>
      </c>
      <c r="C341" s="255"/>
      <c r="D341" s="438"/>
      <c r="E341" s="438"/>
      <c r="F341" s="89"/>
      <c r="G341" s="89"/>
      <c r="H341" s="89"/>
      <c r="I341" s="89"/>
      <c r="J341" s="89"/>
      <c r="K341" s="89"/>
      <c r="L341" s="89"/>
      <c r="M341" s="89"/>
      <c r="N341" s="89"/>
      <c r="O341" s="89"/>
      <c r="P341" s="89"/>
      <c r="Q341" s="475" t="s">
        <v>797</v>
      </c>
      <c r="R341" s="89"/>
      <c r="S341" s="89"/>
      <c r="T341" s="89"/>
      <c r="U341" s="89"/>
      <c r="V341" s="89"/>
      <c r="W341" s="89"/>
      <c r="X341" s="89" t="s">
        <v>948</v>
      </c>
      <c r="Y341" s="89"/>
      <c r="Z341" s="89"/>
      <c r="AA341" s="89"/>
      <c r="AB341" s="89"/>
      <c r="AC341" s="89"/>
      <c r="AD341" s="89"/>
      <c r="AE341" s="89"/>
      <c r="AF341" s="89"/>
      <c r="AG341" s="89"/>
      <c r="AH341" s="89"/>
      <c r="AI341" s="89"/>
      <c r="AJ341" s="89"/>
      <c r="AK341" s="89"/>
      <c r="AL341" s="89"/>
      <c r="AM341" s="89"/>
      <c r="AN341" s="89"/>
      <c r="AO341" s="89"/>
      <c r="AP341" s="89"/>
      <c r="AQ341" s="89"/>
      <c r="AR341" s="89"/>
      <c r="AS341" s="89"/>
      <c r="AT341" s="89"/>
      <c r="AU341" s="89"/>
      <c r="AV341" s="89"/>
      <c r="AW341" s="89"/>
      <c r="AX341" s="89"/>
      <c r="AY341" s="89"/>
      <c r="AZ341" s="89"/>
      <c r="BA341" s="89" t="s">
        <v>797</v>
      </c>
      <c r="BB341" s="441"/>
      <c r="BC341" s="441"/>
      <c r="BD341" s="89" t="s">
        <v>797</v>
      </c>
      <c r="BE341" s="89" t="s">
        <v>948</v>
      </c>
      <c r="BF341" s="441"/>
      <c r="BG341" s="441"/>
      <c r="BH341" s="441"/>
      <c r="BI341" s="441"/>
      <c r="BJ341" s="441"/>
      <c r="BK341" s="441"/>
      <c r="BL341" s="89" t="s">
        <v>797</v>
      </c>
      <c r="BM341" s="441"/>
      <c r="BN341" s="441"/>
      <c r="BO341" s="89" t="s">
        <v>797</v>
      </c>
      <c r="BP341" s="441"/>
      <c r="BQ341" s="441"/>
      <c r="BR341" s="441"/>
    </row>
    <row r="342" spans="2:70" ht="14.65" customHeight="1">
      <c r="B342" s="437">
        <f t="shared" si="7"/>
        <v>52</v>
      </c>
      <c r="C342" s="255"/>
      <c r="D342" s="438"/>
      <c r="E342" s="438"/>
      <c r="F342" s="89"/>
      <c r="G342" s="89"/>
      <c r="H342" s="89"/>
      <c r="I342" s="89"/>
      <c r="J342" s="89"/>
      <c r="K342" s="89"/>
      <c r="L342" s="89"/>
      <c r="M342" s="89"/>
      <c r="N342" s="89"/>
      <c r="O342" s="89"/>
      <c r="P342" s="89"/>
      <c r="Q342" s="475" t="s">
        <v>797</v>
      </c>
      <c r="R342" s="89"/>
      <c r="S342" s="89"/>
      <c r="T342" s="89"/>
      <c r="U342" s="89"/>
      <c r="V342" s="89"/>
      <c r="W342" s="89"/>
      <c r="X342" s="89" t="s">
        <v>948</v>
      </c>
      <c r="Y342" s="89"/>
      <c r="Z342" s="89"/>
      <c r="AA342" s="89"/>
      <c r="AB342" s="89"/>
      <c r="AC342" s="89"/>
      <c r="AD342" s="89"/>
      <c r="AE342" s="89"/>
      <c r="AF342" s="89"/>
      <c r="AG342" s="89"/>
      <c r="AH342" s="89"/>
      <c r="AI342" s="89"/>
      <c r="AJ342" s="89"/>
      <c r="AK342" s="89"/>
      <c r="AL342" s="89"/>
      <c r="AM342" s="89"/>
      <c r="AN342" s="89"/>
      <c r="AO342" s="89"/>
      <c r="AP342" s="89"/>
      <c r="AQ342" s="89"/>
      <c r="AR342" s="89"/>
      <c r="AS342" s="89"/>
      <c r="AT342" s="89"/>
      <c r="AU342" s="89"/>
      <c r="AV342" s="89"/>
      <c r="AW342" s="89"/>
      <c r="AX342" s="89"/>
      <c r="AY342" s="89"/>
      <c r="AZ342" s="89"/>
      <c r="BA342" s="89" t="s">
        <v>797</v>
      </c>
      <c r="BB342" s="441"/>
      <c r="BC342" s="441"/>
      <c r="BD342" s="89" t="s">
        <v>797</v>
      </c>
      <c r="BE342" s="89" t="s">
        <v>948</v>
      </c>
      <c r="BF342" s="441"/>
      <c r="BG342" s="441"/>
      <c r="BH342" s="441"/>
      <c r="BI342" s="441"/>
      <c r="BJ342" s="441"/>
      <c r="BK342" s="441"/>
      <c r="BL342" s="89" t="s">
        <v>797</v>
      </c>
      <c r="BM342" s="441"/>
      <c r="BN342" s="441"/>
      <c r="BO342" s="89" t="s">
        <v>797</v>
      </c>
      <c r="BP342" s="441"/>
      <c r="BQ342" s="441"/>
      <c r="BR342" s="441"/>
    </row>
    <row r="343" spans="2:70" ht="14.65" customHeight="1">
      <c r="B343" s="437">
        <f t="shared" si="7"/>
        <v>53</v>
      </c>
      <c r="C343" s="255"/>
      <c r="D343" s="438"/>
      <c r="E343" s="438"/>
      <c r="F343" s="89"/>
      <c r="G343" s="89"/>
      <c r="H343" s="89"/>
      <c r="I343" s="89"/>
      <c r="J343" s="89"/>
      <c r="K343" s="89"/>
      <c r="L343" s="89"/>
      <c r="M343" s="89"/>
      <c r="N343" s="89"/>
      <c r="O343" s="89"/>
      <c r="P343" s="89"/>
      <c r="Q343" s="475" t="s">
        <v>797</v>
      </c>
      <c r="R343" s="89"/>
      <c r="S343" s="89"/>
      <c r="T343" s="89"/>
      <c r="U343" s="89"/>
      <c r="V343" s="89"/>
      <c r="W343" s="89"/>
      <c r="X343" s="89" t="s">
        <v>948</v>
      </c>
      <c r="Y343" s="89"/>
      <c r="Z343" s="89"/>
      <c r="AA343" s="89"/>
      <c r="AB343" s="89"/>
      <c r="AC343" s="89"/>
      <c r="AD343" s="89"/>
      <c r="AE343" s="89"/>
      <c r="AF343" s="89"/>
      <c r="AG343" s="89"/>
      <c r="AH343" s="89"/>
      <c r="AI343" s="89"/>
      <c r="AJ343" s="89"/>
      <c r="AK343" s="89"/>
      <c r="AL343" s="89"/>
      <c r="AM343" s="89"/>
      <c r="AN343" s="89"/>
      <c r="AO343" s="89"/>
      <c r="AP343" s="89"/>
      <c r="AQ343" s="89"/>
      <c r="AR343" s="89"/>
      <c r="AS343" s="89"/>
      <c r="AT343" s="89"/>
      <c r="AU343" s="89"/>
      <c r="AV343" s="89"/>
      <c r="AW343" s="89"/>
      <c r="AX343" s="89"/>
      <c r="AY343" s="89"/>
      <c r="AZ343" s="89"/>
      <c r="BA343" s="89" t="s">
        <v>797</v>
      </c>
      <c r="BB343" s="441"/>
      <c r="BC343" s="441"/>
      <c r="BD343" s="89" t="s">
        <v>797</v>
      </c>
      <c r="BE343" s="89" t="s">
        <v>948</v>
      </c>
      <c r="BF343" s="441"/>
      <c r="BG343" s="441"/>
      <c r="BH343" s="441"/>
      <c r="BI343" s="441"/>
      <c r="BJ343" s="441"/>
      <c r="BK343" s="441"/>
      <c r="BL343" s="89" t="s">
        <v>797</v>
      </c>
      <c r="BM343" s="441"/>
      <c r="BN343" s="441"/>
      <c r="BO343" s="89" t="s">
        <v>797</v>
      </c>
      <c r="BP343" s="441"/>
      <c r="BQ343" s="441"/>
      <c r="BR343" s="441"/>
    </row>
    <row r="344" spans="2:70" ht="14.65" customHeight="1">
      <c r="B344" s="437">
        <f t="shared" si="7"/>
        <v>54</v>
      </c>
      <c r="C344" s="255"/>
      <c r="D344" s="438"/>
      <c r="E344" s="438"/>
      <c r="F344" s="89"/>
      <c r="G344" s="89"/>
      <c r="H344" s="89"/>
      <c r="I344" s="89"/>
      <c r="J344" s="89"/>
      <c r="K344" s="89"/>
      <c r="L344" s="89"/>
      <c r="M344" s="89"/>
      <c r="N344" s="89"/>
      <c r="O344" s="89"/>
      <c r="P344" s="89"/>
      <c r="Q344" s="475" t="s">
        <v>797</v>
      </c>
      <c r="R344" s="89"/>
      <c r="S344" s="89"/>
      <c r="T344" s="89"/>
      <c r="U344" s="89"/>
      <c r="V344" s="89"/>
      <c r="W344" s="89"/>
      <c r="X344" s="89" t="s">
        <v>948</v>
      </c>
      <c r="Y344" s="89"/>
      <c r="Z344" s="89"/>
      <c r="AA344" s="89"/>
      <c r="AB344" s="89"/>
      <c r="AC344" s="89"/>
      <c r="AD344" s="89"/>
      <c r="AE344" s="89"/>
      <c r="AF344" s="89"/>
      <c r="AG344" s="89"/>
      <c r="AH344" s="89"/>
      <c r="AI344" s="89"/>
      <c r="AJ344" s="89"/>
      <c r="AK344" s="89"/>
      <c r="AL344" s="89"/>
      <c r="AM344" s="89"/>
      <c r="AN344" s="89"/>
      <c r="AO344" s="89"/>
      <c r="AP344" s="89"/>
      <c r="AQ344" s="89"/>
      <c r="AR344" s="89"/>
      <c r="AS344" s="89"/>
      <c r="AT344" s="89"/>
      <c r="AU344" s="89"/>
      <c r="AV344" s="89"/>
      <c r="AW344" s="89"/>
      <c r="AX344" s="89"/>
      <c r="AY344" s="89"/>
      <c r="AZ344" s="89"/>
      <c r="BA344" s="89" t="s">
        <v>797</v>
      </c>
      <c r="BB344" s="441"/>
      <c r="BC344" s="441"/>
      <c r="BD344" s="89" t="s">
        <v>797</v>
      </c>
      <c r="BE344" s="89" t="s">
        <v>948</v>
      </c>
      <c r="BF344" s="441"/>
      <c r="BG344" s="441"/>
      <c r="BH344" s="441"/>
      <c r="BI344" s="441"/>
      <c r="BJ344" s="441"/>
      <c r="BK344" s="441"/>
      <c r="BL344" s="89" t="s">
        <v>797</v>
      </c>
      <c r="BM344" s="441"/>
      <c r="BN344" s="441"/>
      <c r="BO344" s="89" t="s">
        <v>797</v>
      </c>
      <c r="BP344" s="441"/>
      <c r="BQ344" s="441"/>
      <c r="BR344" s="441"/>
    </row>
    <row r="345" spans="2:70" ht="14.65" customHeight="1">
      <c r="B345" s="437">
        <f t="shared" si="7"/>
        <v>55</v>
      </c>
      <c r="C345" s="255"/>
      <c r="D345" s="438"/>
      <c r="E345" s="438"/>
      <c r="F345" s="89"/>
      <c r="G345" s="89"/>
      <c r="H345" s="89"/>
      <c r="I345" s="89"/>
      <c r="J345" s="89"/>
      <c r="K345" s="89"/>
      <c r="L345" s="89"/>
      <c r="M345" s="89"/>
      <c r="N345" s="89"/>
      <c r="O345" s="89"/>
      <c r="P345" s="89"/>
      <c r="Q345" s="475" t="s">
        <v>797</v>
      </c>
      <c r="R345" s="89"/>
      <c r="S345" s="89"/>
      <c r="T345" s="89"/>
      <c r="U345" s="89"/>
      <c r="V345" s="89"/>
      <c r="W345" s="89"/>
      <c r="X345" s="89" t="s">
        <v>948</v>
      </c>
      <c r="Y345" s="89"/>
      <c r="Z345" s="89"/>
      <c r="AA345" s="89"/>
      <c r="AB345" s="89"/>
      <c r="AC345" s="89"/>
      <c r="AD345" s="89"/>
      <c r="AE345" s="89"/>
      <c r="AF345" s="89"/>
      <c r="AG345" s="89"/>
      <c r="AH345" s="89"/>
      <c r="AI345" s="89"/>
      <c r="AJ345" s="89"/>
      <c r="AK345" s="89"/>
      <c r="AL345" s="89"/>
      <c r="AM345" s="89"/>
      <c r="AN345" s="89"/>
      <c r="AO345" s="89"/>
      <c r="AP345" s="89"/>
      <c r="AQ345" s="89"/>
      <c r="AR345" s="89"/>
      <c r="AS345" s="89"/>
      <c r="AT345" s="89"/>
      <c r="AU345" s="89"/>
      <c r="AV345" s="89"/>
      <c r="AW345" s="89"/>
      <c r="AX345" s="89"/>
      <c r="AY345" s="89"/>
      <c r="AZ345" s="89"/>
      <c r="BA345" s="89" t="s">
        <v>797</v>
      </c>
      <c r="BB345" s="441"/>
      <c r="BC345" s="441"/>
      <c r="BD345" s="89" t="s">
        <v>797</v>
      </c>
      <c r="BE345" s="89" t="s">
        <v>948</v>
      </c>
      <c r="BF345" s="441"/>
      <c r="BG345" s="441"/>
      <c r="BH345" s="441"/>
      <c r="BI345" s="441"/>
      <c r="BJ345" s="441"/>
      <c r="BK345" s="441"/>
      <c r="BL345" s="89" t="s">
        <v>797</v>
      </c>
      <c r="BM345" s="441"/>
      <c r="BN345" s="441"/>
      <c r="BO345" s="89" t="s">
        <v>797</v>
      </c>
      <c r="BP345" s="441"/>
      <c r="BQ345" s="441"/>
      <c r="BR345" s="441"/>
    </row>
    <row r="346" spans="2:70" ht="14.65" customHeight="1">
      <c r="B346" s="437">
        <f t="shared" si="7"/>
        <v>56</v>
      </c>
      <c r="C346" s="255"/>
      <c r="D346" s="438"/>
      <c r="E346" s="438"/>
      <c r="F346" s="89"/>
      <c r="G346" s="89"/>
      <c r="H346" s="89"/>
      <c r="I346" s="89"/>
      <c r="J346" s="89"/>
      <c r="K346" s="89"/>
      <c r="L346" s="89"/>
      <c r="M346" s="89"/>
      <c r="N346" s="89"/>
      <c r="O346" s="89"/>
      <c r="P346" s="89"/>
      <c r="Q346" s="475" t="s">
        <v>797</v>
      </c>
      <c r="R346" s="89"/>
      <c r="S346" s="89"/>
      <c r="T346" s="89"/>
      <c r="U346" s="89"/>
      <c r="V346" s="89"/>
      <c r="W346" s="89"/>
      <c r="X346" s="89" t="s">
        <v>948</v>
      </c>
      <c r="Y346" s="89"/>
      <c r="Z346" s="89"/>
      <c r="AA346" s="89"/>
      <c r="AB346" s="89"/>
      <c r="AC346" s="89"/>
      <c r="AD346" s="89"/>
      <c r="AE346" s="89"/>
      <c r="AF346" s="89"/>
      <c r="AG346" s="89"/>
      <c r="AH346" s="89"/>
      <c r="AI346" s="89"/>
      <c r="AJ346" s="89"/>
      <c r="AK346" s="89"/>
      <c r="AL346" s="89"/>
      <c r="AM346" s="89"/>
      <c r="AN346" s="89"/>
      <c r="AO346" s="89"/>
      <c r="AP346" s="89"/>
      <c r="AQ346" s="89"/>
      <c r="AR346" s="89"/>
      <c r="AS346" s="89"/>
      <c r="AT346" s="89"/>
      <c r="AU346" s="89"/>
      <c r="AV346" s="89"/>
      <c r="AW346" s="89"/>
      <c r="AX346" s="89"/>
      <c r="AY346" s="89"/>
      <c r="AZ346" s="89"/>
      <c r="BA346" s="89" t="s">
        <v>797</v>
      </c>
      <c r="BB346" s="441"/>
      <c r="BC346" s="441"/>
      <c r="BD346" s="89" t="s">
        <v>797</v>
      </c>
      <c r="BE346" s="89" t="s">
        <v>948</v>
      </c>
      <c r="BF346" s="441"/>
      <c r="BG346" s="441"/>
      <c r="BH346" s="441"/>
      <c r="BI346" s="441"/>
      <c r="BJ346" s="441"/>
      <c r="BK346" s="441"/>
      <c r="BL346" s="89" t="s">
        <v>797</v>
      </c>
      <c r="BM346" s="441"/>
      <c r="BN346" s="441"/>
      <c r="BO346" s="89" t="s">
        <v>797</v>
      </c>
      <c r="BP346" s="441"/>
      <c r="BQ346" s="441"/>
      <c r="BR346" s="441"/>
    </row>
    <row r="347" spans="2:70" ht="14.65" customHeight="1">
      <c r="B347" s="437">
        <f t="shared" si="7"/>
        <v>57</v>
      </c>
      <c r="C347" s="255"/>
      <c r="D347" s="438"/>
      <c r="E347" s="438"/>
      <c r="F347" s="89"/>
      <c r="G347" s="89"/>
      <c r="H347" s="89"/>
      <c r="I347" s="89"/>
      <c r="J347" s="89"/>
      <c r="K347" s="89"/>
      <c r="L347" s="89"/>
      <c r="M347" s="89"/>
      <c r="N347" s="89"/>
      <c r="O347" s="89"/>
      <c r="P347" s="89"/>
      <c r="Q347" s="475" t="s">
        <v>797</v>
      </c>
      <c r="R347" s="89"/>
      <c r="S347" s="89"/>
      <c r="T347" s="89"/>
      <c r="U347" s="89"/>
      <c r="V347" s="89"/>
      <c r="W347" s="89"/>
      <c r="X347" s="89" t="s">
        <v>948</v>
      </c>
      <c r="Y347" s="89"/>
      <c r="Z347" s="89"/>
      <c r="AA347" s="89"/>
      <c r="AB347" s="89"/>
      <c r="AC347" s="89"/>
      <c r="AD347" s="89"/>
      <c r="AE347" s="89"/>
      <c r="AF347" s="89"/>
      <c r="AG347" s="89"/>
      <c r="AH347" s="89"/>
      <c r="AI347" s="89"/>
      <c r="AJ347" s="89"/>
      <c r="AK347" s="89"/>
      <c r="AL347" s="89"/>
      <c r="AM347" s="89"/>
      <c r="AN347" s="89"/>
      <c r="AO347" s="89"/>
      <c r="AP347" s="89"/>
      <c r="AQ347" s="89"/>
      <c r="AR347" s="89"/>
      <c r="AS347" s="89"/>
      <c r="AT347" s="89"/>
      <c r="AU347" s="89"/>
      <c r="AV347" s="89"/>
      <c r="AW347" s="89"/>
      <c r="AX347" s="89"/>
      <c r="AY347" s="89"/>
      <c r="AZ347" s="89"/>
      <c r="BA347" s="89" t="s">
        <v>797</v>
      </c>
      <c r="BB347" s="441"/>
      <c r="BC347" s="441"/>
      <c r="BD347" s="89" t="s">
        <v>797</v>
      </c>
      <c r="BE347" s="89" t="s">
        <v>948</v>
      </c>
      <c r="BF347" s="441"/>
      <c r="BG347" s="441"/>
      <c r="BH347" s="441"/>
      <c r="BI347" s="441"/>
      <c r="BJ347" s="441"/>
      <c r="BK347" s="441"/>
      <c r="BL347" s="89" t="s">
        <v>797</v>
      </c>
      <c r="BM347" s="441"/>
      <c r="BN347" s="441"/>
      <c r="BO347" s="89" t="s">
        <v>797</v>
      </c>
      <c r="BP347" s="441"/>
      <c r="BQ347" s="441"/>
      <c r="BR347" s="441"/>
    </row>
    <row r="348" spans="2:70" ht="14.65" customHeight="1">
      <c r="B348" s="437">
        <f t="shared" si="7"/>
        <v>58</v>
      </c>
      <c r="C348" s="255"/>
      <c r="D348" s="438"/>
      <c r="E348" s="438"/>
      <c r="F348" s="89"/>
      <c r="G348" s="89"/>
      <c r="H348" s="89"/>
      <c r="I348" s="89"/>
      <c r="J348" s="89"/>
      <c r="K348" s="89"/>
      <c r="L348" s="89"/>
      <c r="M348" s="89"/>
      <c r="N348" s="89"/>
      <c r="O348" s="89"/>
      <c r="P348" s="89"/>
      <c r="Q348" s="475" t="s">
        <v>797</v>
      </c>
      <c r="R348" s="89"/>
      <c r="S348" s="89"/>
      <c r="T348" s="89"/>
      <c r="U348" s="89"/>
      <c r="V348" s="89"/>
      <c r="W348" s="89"/>
      <c r="X348" s="89" t="s">
        <v>948</v>
      </c>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c r="AZ348" s="89"/>
      <c r="BA348" s="89" t="s">
        <v>797</v>
      </c>
      <c r="BB348" s="441"/>
      <c r="BC348" s="441"/>
      <c r="BD348" s="89" t="s">
        <v>797</v>
      </c>
      <c r="BE348" s="89" t="s">
        <v>948</v>
      </c>
      <c r="BF348" s="441"/>
      <c r="BG348" s="441"/>
      <c r="BH348" s="441"/>
      <c r="BI348" s="441"/>
      <c r="BJ348" s="441"/>
      <c r="BK348" s="441"/>
      <c r="BL348" s="89" t="s">
        <v>797</v>
      </c>
      <c r="BM348" s="441"/>
      <c r="BN348" s="441"/>
      <c r="BO348" s="89" t="s">
        <v>797</v>
      </c>
      <c r="BP348" s="441"/>
      <c r="BQ348" s="441"/>
      <c r="BR348" s="441"/>
    </row>
    <row r="349" spans="2:70" ht="14.65" customHeight="1">
      <c r="B349" s="437">
        <f t="shared" si="7"/>
        <v>59</v>
      </c>
      <c r="C349" s="255"/>
      <c r="D349" s="438"/>
      <c r="E349" s="438"/>
      <c r="F349" s="89"/>
      <c r="G349" s="89"/>
      <c r="H349" s="89"/>
      <c r="I349" s="89"/>
      <c r="J349" s="89"/>
      <c r="K349" s="89"/>
      <c r="L349" s="89"/>
      <c r="M349" s="89"/>
      <c r="N349" s="89"/>
      <c r="O349" s="89"/>
      <c r="P349" s="89"/>
      <c r="Q349" s="475" t="s">
        <v>797</v>
      </c>
      <c r="R349" s="89"/>
      <c r="S349" s="89"/>
      <c r="T349" s="89"/>
      <c r="U349" s="89"/>
      <c r="V349" s="89"/>
      <c r="W349" s="89"/>
      <c r="X349" s="89" t="s">
        <v>948</v>
      </c>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c r="AZ349" s="89"/>
      <c r="BA349" s="89" t="s">
        <v>797</v>
      </c>
      <c r="BB349" s="441"/>
      <c r="BC349" s="441"/>
      <c r="BD349" s="89" t="s">
        <v>797</v>
      </c>
      <c r="BE349" s="89" t="s">
        <v>948</v>
      </c>
      <c r="BF349" s="441"/>
      <c r="BG349" s="441"/>
      <c r="BH349" s="441"/>
      <c r="BI349" s="441"/>
      <c r="BJ349" s="441"/>
      <c r="BK349" s="441"/>
      <c r="BL349" s="89" t="s">
        <v>797</v>
      </c>
      <c r="BM349" s="441"/>
      <c r="BN349" s="441"/>
      <c r="BO349" s="89" t="s">
        <v>797</v>
      </c>
      <c r="BP349" s="441"/>
      <c r="BQ349" s="441"/>
      <c r="BR349" s="441"/>
    </row>
    <row r="350" spans="2:70" ht="14.65" customHeight="1">
      <c r="B350" s="437">
        <f t="shared" si="7"/>
        <v>60</v>
      </c>
      <c r="C350" s="255"/>
      <c r="D350" s="438"/>
      <c r="E350" s="438"/>
      <c r="F350" s="89"/>
      <c r="G350" s="89"/>
      <c r="H350" s="89"/>
      <c r="I350" s="89"/>
      <c r="J350" s="89"/>
      <c r="K350" s="89"/>
      <c r="L350" s="89"/>
      <c r="M350" s="89"/>
      <c r="N350" s="89"/>
      <c r="O350" s="89"/>
      <c r="P350" s="89"/>
      <c r="Q350" s="475" t="s">
        <v>797</v>
      </c>
      <c r="R350" s="89"/>
      <c r="S350" s="89"/>
      <c r="T350" s="89"/>
      <c r="U350" s="89"/>
      <c r="V350" s="89"/>
      <c r="W350" s="89"/>
      <c r="X350" s="89" t="s">
        <v>948</v>
      </c>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t="s">
        <v>797</v>
      </c>
      <c r="BB350" s="441"/>
      <c r="BC350" s="441"/>
      <c r="BD350" s="89" t="s">
        <v>797</v>
      </c>
      <c r="BE350" s="89" t="s">
        <v>948</v>
      </c>
      <c r="BF350" s="441"/>
      <c r="BG350" s="441"/>
      <c r="BH350" s="441"/>
      <c r="BI350" s="441"/>
      <c r="BJ350" s="441"/>
      <c r="BK350" s="441"/>
      <c r="BL350" s="89" t="s">
        <v>797</v>
      </c>
      <c r="BM350" s="441"/>
      <c r="BN350" s="441"/>
      <c r="BO350" s="89" t="s">
        <v>797</v>
      </c>
      <c r="BP350" s="441"/>
      <c r="BQ350" s="441"/>
      <c r="BR350" s="441"/>
    </row>
    <row r="351" spans="2:70" ht="14.65" customHeight="1">
      <c r="B351" s="437">
        <f t="shared" si="7"/>
        <v>61</v>
      </c>
      <c r="C351" s="255"/>
      <c r="D351" s="438"/>
      <c r="E351" s="438"/>
      <c r="F351" s="89"/>
      <c r="G351" s="89"/>
      <c r="H351" s="89"/>
      <c r="I351" s="89"/>
      <c r="J351" s="89"/>
      <c r="K351" s="89"/>
      <c r="L351" s="89"/>
      <c r="M351" s="89"/>
      <c r="N351" s="89"/>
      <c r="O351" s="89"/>
      <c r="P351" s="89"/>
      <c r="Q351" s="475" t="s">
        <v>797</v>
      </c>
      <c r="R351" s="89"/>
      <c r="S351" s="89"/>
      <c r="T351" s="89"/>
      <c r="U351" s="89"/>
      <c r="V351" s="89"/>
      <c r="W351" s="89"/>
      <c r="X351" s="89" t="s">
        <v>948</v>
      </c>
      <c r="Y351" s="89"/>
      <c r="Z351" s="89"/>
      <c r="AA351" s="89"/>
      <c r="AB351" s="89"/>
      <c r="AC351" s="89"/>
      <c r="AD351" s="89"/>
      <c r="AE351" s="89"/>
      <c r="AF351" s="89"/>
      <c r="AG351" s="89"/>
      <c r="AH351" s="89"/>
      <c r="AI351" s="89"/>
      <c r="AJ351" s="89"/>
      <c r="AK351" s="89"/>
      <c r="AL351" s="89"/>
      <c r="AM351" s="89"/>
      <c r="AN351" s="89"/>
      <c r="AO351" s="89"/>
      <c r="AP351" s="89"/>
      <c r="AQ351" s="89"/>
      <c r="AR351" s="89"/>
      <c r="AS351" s="89"/>
      <c r="AT351" s="89"/>
      <c r="AU351" s="89"/>
      <c r="AV351" s="89"/>
      <c r="AW351" s="89"/>
      <c r="AX351" s="89"/>
      <c r="AY351" s="89"/>
      <c r="AZ351" s="89"/>
      <c r="BA351" s="89" t="s">
        <v>797</v>
      </c>
      <c r="BB351" s="441"/>
      <c r="BC351" s="441"/>
      <c r="BD351" s="89" t="s">
        <v>797</v>
      </c>
      <c r="BE351" s="89" t="s">
        <v>948</v>
      </c>
      <c r="BF351" s="441"/>
      <c r="BG351" s="441"/>
      <c r="BH351" s="441"/>
      <c r="BI351" s="441"/>
      <c r="BJ351" s="441"/>
      <c r="BK351" s="441"/>
      <c r="BL351" s="89" t="s">
        <v>797</v>
      </c>
      <c r="BM351" s="441"/>
      <c r="BN351" s="441"/>
      <c r="BO351" s="89" t="s">
        <v>797</v>
      </c>
      <c r="BP351" s="441"/>
      <c r="BQ351" s="441"/>
      <c r="BR351" s="441"/>
    </row>
    <row r="352" spans="2:70" ht="14.65" customHeight="1">
      <c r="B352" s="437">
        <f t="shared" si="7"/>
        <v>62</v>
      </c>
      <c r="C352" s="255"/>
      <c r="D352" s="438"/>
      <c r="E352" s="438"/>
      <c r="F352" s="89"/>
      <c r="G352" s="89"/>
      <c r="H352" s="89"/>
      <c r="I352" s="89"/>
      <c r="J352" s="89"/>
      <c r="K352" s="89"/>
      <c r="L352" s="89"/>
      <c r="M352" s="89"/>
      <c r="N352" s="89"/>
      <c r="O352" s="89"/>
      <c r="P352" s="89"/>
      <c r="Q352" s="475" t="s">
        <v>797</v>
      </c>
      <c r="R352" s="89"/>
      <c r="S352" s="89"/>
      <c r="T352" s="89"/>
      <c r="U352" s="89"/>
      <c r="V352" s="89"/>
      <c r="W352" s="89"/>
      <c r="X352" s="89" t="s">
        <v>948</v>
      </c>
      <c r="Y352" s="89"/>
      <c r="Z352" s="89"/>
      <c r="AA352" s="89"/>
      <c r="AB352" s="89"/>
      <c r="AC352" s="89"/>
      <c r="AD352" s="89"/>
      <c r="AE352" s="89"/>
      <c r="AF352" s="89"/>
      <c r="AG352" s="89"/>
      <c r="AH352" s="89"/>
      <c r="AI352" s="89"/>
      <c r="AJ352" s="89"/>
      <c r="AK352" s="89"/>
      <c r="AL352" s="89"/>
      <c r="AM352" s="89"/>
      <c r="AN352" s="89"/>
      <c r="AO352" s="89"/>
      <c r="AP352" s="89"/>
      <c r="AQ352" s="89"/>
      <c r="AR352" s="89"/>
      <c r="AS352" s="89"/>
      <c r="AT352" s="89"/>
      <c r="AU352" s="89"/>
      <c r="AV352" s="89"/>
      <c r="AW352" s="89"/>
      <c r="AX352" s="89"/>
      <c r="AY352" s="89"/>
      <c r="AZ352" s="89"/>
      <c r="BA352" s="89" t="s">
        <v>797</v>
      </c>
      <c r="BB352" s="441"/>
      <c r="BC352" s="441"/>
      <c r="BD352" s="89" t="s">
        <v>797</v>
      </c>
      <c r="BE352" s="89" t="s">
        <v>948</v>
      </c>
      <c r="BF352" s="441"/>
      <c r="BG352" s="441"/>
      <c r="BH352" s="441"/>
      <c r="BI352" s="441"/>
      <c r="BJ352" s="441"/>
      <c r="BK352" s="441"/>
      <c r="BL352" s="89" t="s">
        <v>797</v>
      </c>
      <c r="BM352" s="441"/>
      <c r="BN352" s="441"/>
      <c r="BO352" s="89" t="s">
        <v>797</v>
      </c>
      <c r="BP352" s="441"/>
      <c r="BQ352" s="441"/>
      <c r="BR352" s="441"/>
    </row>
    <row r="353" spans="2:70" ht="14.65" customHeight="1">
      <c r="B353" s="437">
        <f t="shared" si="7"/>
        <v>63</v>
      </c>
      <c r="C353" s="255"/>
      <c r="D353" s="438"/>
      <c r="E353" s="438"/>
      <c r="F353" s="89"/>
      <c r="G353" s="89"/>
      <c r="H353" s="89"/>
      <c r="I353" s="89"/>
      <c r="J353" s="89"/>
      <c r="K353" s="89"/>
      <c r="L353" s="89"/>
      <c r="M353" s="89"/>
      <c r="N353" s="89"/>
      <c r="O353" s="89"/>
      <c r="P353" s="89"/>
      <c r="Q353" s="475" t="s">
        <v>797</v>
      </c>
      <c r="R353" s="89"/>
      <c r="S353" s="89"/>
      <c r="T353" s="89"/>
      <c r="U353" s="89"/>
      <c r="V353" s="89"/>
      <c r="W353" s="89"/>
      <c r="X353" s="89" t="s">
        <v>948</v>
      </c>
      <c r="Y353" s="89"/>
      <c r="Z353" s="89"/>
      <c r="AA353" s="89"/>
      <c r="AB353" s="89"/>
      <c r="AC353" s="89"/>
      <c r="AD353" s="89"/>
      <c r="AE353" s="89"/>
      <c r="AF353" s="89"/>
      <c r="AG353" s="89"/>
      <c r="AH353" s="89"/>
      <c r="AI353" s="89"/>
      <c r="AJ353" s="89"/>
      <c r="AK353" s="89"/>
      <c r="AL353" s="89"/>
      <c r="AM353" s="89"/>
      <c r="AN353" s="89"/>
      <c r="AO353" s="89"/>
      <c r="AP353" s="89"/>
      <c r="AQ353" s="89"/>
      <c r="AR353" s="89"/>
      <c r="AS353" s="89"/>
      <c r="AT353" s="89"/>
      <c r="AU353" s="89"/>
      <c r="AV353" s="89"/>
      <c r="AW353" s="89"/>
      <c r="AX353" s="89"/>
      <c r="AY353" s="89"/>
      <c r="AZ353" s="89"/>
      <c r="BA353" s="89" t="s">
        <v>797</v>
      </c>
      <c r="BB353" s="441"/>
      <c r="BC353" s="441"/>
      <c r="BD353" s="89" t="s">
        <v>797</v>
      </c>
      <c r="BE353" s="89" t="s">
        <v>948</v>
      </c>
      <c r="BF353" s="441"/>
      <c r="BG353" s="441"/>
      <c r="BH353" s="441"/>
      <c r="BI353" s="441"/>
      <c r="BJ353" s="441"/>
      <c r="BK353" s="441"/>
      <c r="BL353" s="89" t="s">
        <v>797</v>
      </c>
      <c r="BM353" s="441"/>
      <c r="BN353" s="441"/>
      <c r="BO353" s="89" t="s">
        <v>797</v>
      </c>
      <c r="BP353" s="441"/>
      <c r="BQ353" s="441"/>
      <c r="BR353" s="441"/>
    </row>
    <row r="354" spans="2:70" ht="14.65" customHeight="1">
      <c r="B354" s="437">
        <f t="shared" si="7"/>
        <v>64</v>
      </c>
      <c r="C354" s="255"/>
      <c r="D354" s="438"/>
      <c r="E354" s="438"/>
      <c r="F354" s="89"/>
      <c r="G354" s="89"/>
      <c r="H354" s="89"/>
      <c r="I354" s="89"/>
      <c r="J354" s="89"/>
      <c r="K354" s="89"/>
      <c r="L354" s="89"/>
      <c r="M354" s="89"/>
      <c r="N354" s="89"/>
      <c r="O354" s="89"/>
      <c r="P354" s="89"/>
      <c r="Q354" s="475" t="s">
        <v>797</v>
      </c>
      <c r="R354" s="89"/>
      <c r="S354" s="89"/>
      <c r="T354" s="89"/>
      <c r="U354" s="89"/>
      <c r="V354" s="89"/>
      <c r="W354" s="89"/>
      <c r="X354" s="89" t="s">
        <v>948</v>
      </c>
      <c r="Y354" s="89"/>
      <c r="Z354" s="89"/>
      <c r="AA354" s="89"/>
      <c r="AB354" s="89"/>
      <c r="AC354" s="89"/>
      <c r="AD354" s="89"/>
      <c r="AE354" s="89"/>
      <c r="AF354" s="89"/>
      <c r="AG354" s="89"/>
      <c r="AH354" s="89"/>
      <c r="AI354" s="89"/>
      <c r="AJ354" s="89"/>
      <c r="AK354" s="89"/>
      <c r="AL354" s="89"/>
      <c r="AM354" s="89"/>
      <c r="AN354" s="89"/>
      <c r="AO354" s="89"/>
      <c r="AP354" s="89"/>
      <c r="AQ354" s="89"/>
      <c r="AR354" s="89"/>
      <c r="AS354" s="89"/>
      <c r="AT354" s="89"/>
      <c r="AU354" s="89"/>
      <c r="AV354" s="89"/>
      <c r="AW354" s="89"/>
      <c r="AX354" s="89"/>
      <c r="AY354" s="89"/>
      <c r="AZ354" s="89"/>
      <c r="BA354" s="89" t="s">
        <v>797</v>
      </c>
      <c r="BB354" s="441"/>
      <c r="BC354" s="441"/>
      <c r="BD354" s="89" t="s">
        <v>797</v>
      </c>
      <c r="BE354" s="89" t="s">
        <v>948</v>
      </c>
      <c r="BF354" s="441"/>
      <c r="BG354" s="441"/>
      <c r="BH354" s="441"/>
      <c r="BI354" s="441"/>
      <c r="BJ354" s="441"/>
      <c r="BK354" s="441"/>
      <c r="BL354" s="89" t="s">
        <v>797</v>
      </c>
      <c r="BM354" s="441"/>
      <c r="BN354" s="441"/>
      <c r="BO354" s="89" t="s">
        <v>797</v>
      </c>
      <c r="BP354" s="441"/>
      <c r="BQ354" s="441"/>
      <c r="BR354" s="441"/>
    </row>
    <row r="355" spans="2:70" ht="14.65" customHeight="1">
      <c r="B355" s="437">
        <f t="shared" si="7"/>
        <v>65</v>
      </c>
      <c r="C355" s="255"/>
      <c r="D355" s="438"/>
      <c r="E355" s="438"/>
      <c r="F355" s="89"/>
      <c r="G355" s="89"/>
      <c r="H355" s="89"/>
      <c r="I355" s="89"/>
      <c r="J355" s="89"/>
      <c r="K355" s="89"/>
      <c r="L355" s="89"/>
      <c r="M355" s="89"/>
      <c r="N355" s="89"/>
      <c r="O355" s="89"/>
      <c r="P355" s="89"/>
      <c r="Q355" s="475" t="s">
        <v>797</v>
      </c>
      <c r="R355" s="89"/>
      <c r="S355" s="89"/>
      <c r="T355" s="89"/>
      <c r="U355" s="89"/>
      <c r="V355" s="89"/>
      <c r="W355" s="89"/>
      <c r="X355" s="89" t="s">
        <v>948</v>
      </c>
      <c r="Y355" s="89"/>
      <c r="Z355" s="89"/>
      <c r="AA355" s="89"/>
      <c r="AB355" s="89"/>
      <c r="AC355" s="89"/>
      <c r="AD355" s="89"/>
      <c r="AE355" s="89"/>
      <c r="AF355" s="89"/>
      <c r="AG355" s="89"/>
      <c r="AH355" s="89"/>
      <c r="AI355" s="89"/>
      <c r="AJ355" s="89"/>
      <c r="AK355" s="89"/>
      <c r="AL355" s="89"/>
      <c r="AM355" s="89"/>
      <c r="AN355" s="89"/>
      <c r="AO355" s="89"/>
      <c r="AP355" s="89"/>
      <c r="AQ355" s="89"/>
      <c r="AR355" s="89"/>
      <c r="AS355" s="89"/>
      <c r="AT355" s="89"/>
      <c r="AU355" s="89"/>
      <c r="AV355" s="89"/>
      <c r="AW355" s="89"/>
      <c r="AX355" s="89"/>
      <c r="AY355" s="89"/>
      <c r="AZ355" s="89"/>
      <c r="BA355" s="89" t="s">
        <v>797</v>
      </c>
      <c r="BB355" s="441"/>
      <c r="BC355" s="441"/>
      <c r="BD355" s="89" t="s">
        <v>797</v>
      </c>
      <c r="BE355" s="89" t="s">
        <v>948</v>
      </c>
      <c r="BF355" s="441"/>
      <c r="BG355" s="441"/>
      <c r="BH355" s="441"/>
      <c r="BI355" s="441"/>
      <c r="BJ355" s="441"/>
      <c r="BK355" s="441"/>
      <c r="BL355" s="89" t="s">
        <v>797</v>
      </c>
      <c r="BM355" s="441"/>
      <c r="BN355" s="441"/>
      <c r="BO355" s="89" t="s">
        <v>797</v>
      </c>
      <c r="BP355" s="441"/>
      <c r="BQ355" s="441"/>
      <c r="BR355" s="441"/>
    </row>
    <row r="356" spans="2:70" ht="14.65" customHeight="1">
      <c r="B356" s="437">
        <f t="shared" ref="B356:B368" si="8">1+B355</f>
        <v>66</v>
      </c>
      <c r="C356" s="255"/>
      <c r="D356" s="438"/>
      <c r="E356" s="438"/>
      <c r="F356" s="89"/>
      <c r="G356" s="89"/>
      <c r="H356" s="89"/>
      <c r="I356" s="89"/>
      <c r="J356" s="89"/>
      <c r="K356" s="89"/>
      <c r="L356" s="89"/>
      <c r="M356" s="89"/>
      <c r="N356" s="89"/>
      <c r="O356" s="89"/>
      <c r="P356" s="89"/>
      <c r="Q356" s="475" t="s">
        <v>797</v>
      </c>
      <c r="R356" s="89"/>
      <c r="S356" s="89"/>
      <c r="T356" s="89"/>
      <c r="U356" s="89"/>
      <c r="V356" s="89"/>
      <c r="W356" s="89"/>
      <c r="X356" s="89" t="s">
        <v>948</v>
      </c>
      <c r="Y356" s="89"/>
      <c r="Z356" s="89"/>
      <c r="AA356" s="89"/>
      <c r="AB356" s="89"/>
      <c r="AC356" s="89"/>
      <c r="AD356" s="89"/>
      <c r="AE356" s="89"/>
      <c r="AF356" s="89"/>
      <c r="AG356" s="89"/>
      <c r="AH356" s="89"/>
      <c r="AI356" s="89"/>
      <c r="AJ356" s="89"/>
      <c r="AK356" s="89"/>
      <c r="AL356" s="89"/>
      <c r="AM356" s="89"/>
      <c r="AN356" s="89"/>
      <c r="AO356" s="89"/>
      <c r="AP356" s="89"/>
      <c r="AQ356" s="89"/>
      <c r="AR356" s="89"/>
      <c r="AS356" s="89"/>
      <c r="AT356" s="89"/>
      <c r="AU356" s="89"/>
      <c r="AV356" s="89"/>
      <c r="AW356" s="89"/>
      <c r="AX356" s="89"/>
      <c r="AY356" s="89"/>
      <c r="AZ356" s="89"/>
      <c r="BA356" s="89" t="s">
        <v>797</v>
      </c>
      <c r="BB356" s="441"/>
      <c r="BC356" s="441"/>
      <c r="BD356" s="89" t="s">
        <v>797</v>
      </c>
      <c r="BE356" s="89" t="s">
        <v>948</v>
      </c>
      <c r="BF356" s="441"/>
      <c r="BG356" s="441"/>
      <c r="BH356" s="441"/>
      <c r="BI356" s="441"/>
      <c r="BJ356" s="441"/>
      <c r="BK356" s="441"/>
      <c r="BL356" s="89" t="s">
        <v>797</v>
      </c>
      <c r="BM356" s="441"/>
      <c r="BN356" s="441"/>
      <c r="BO356" s="89" t="s">
        <v>797</v>
      </c>
      <c r="BP356" s="441"/>
      <c r="BQ356" s="441"/>
      <c r="BR356" s="441"/>
    </row>
    <row r="357" spans="2:70" ht="14.65" customHeight="1">
      <c r="B357" s="437">
        <f t="shared" si="8"/>
        <v>67</v>
      </c>
      <c r="C357" s="255"/>
      <c r="D357" s="438"/>
      <c r="E357" s="438"/>
      <c r="F357" s="89"/>
      <c r="G357" s="89"/>
      <c r="H357" s="89"/>
      <c r="I357" s="89"/>
      <c r="J357" s="89"/>
      <c r="K357" s="89"/>
      <c r="L357" s="89"/>
      <c r="M357" s="89"/>
      <c r="N357" s="89"/>
      <c r="O357" s="89"/>
      <c r="P357" s="89"/>
      <c r="Q357" s="475" t="s">
        <v>797</v>
      </c>
      <c r="R357" s="89"/>
      <c r="S357" s="89"/>
      <c r="T357" s="89"/>
      <c r="U357" s="89"/>
      <c r="V357" s="89"/>
      <c r="W357" s="89"/>
      <c r="X357" s="89" t="s">
        <v>948</v>
      </c>
      <c r="Y357" s="89"/>
      <c r="Z357" s="89"/>
      <c r="AA357" s="89"/>
      <c r="AB357" s="89"/>
      <c r="AC357" s="89"/>
      <c r="AD357" s="89"/>
      <c r="AE357" s="89"/>
      <c r="AF357" s="89"/>
      <c r="AG357" s="89"/>
      <c r="AH357" s="89"/>
      <c r="AI357" s="89"/>
      <c r="AJ357" s="89"/>
      <c r="AK357" s="89"/>
      <c r="AL357" s="89"/>
      <c r="AM357" s="89"/>
      <c r="AN357" s="89"/>
      <c r="AO357" s="89"/>
      <c r="AP357" s="89"/>
      <c r="AQ357" s="89"/>
      <c r="AR357" s="89"/>
      <c r="AS357" s="89"/>
      <c r="AT357" s="89"/>
      <c r="AU357" s="89"/>
      <c r="AV357" s="89"/>
      <c r="AW357" s="89"/>
      <c r="AX357" s="89"/>
      <c r="AY357" s="89"/>
      <c r="AZ357" s="89"/>
      <c r="BA357" s="89" t="s">
        <v>797</v>
      </c>
      <c r="BB357" s="441"/>
      <c r="BC357" s="441"/>
      <c r="BD357" s="89" t="s">
        <v>797</v>
      </c>
      <c r="BE357" s="89" t="s">
        <v>948</v>
      </c>
      <c r="BF357" s="441"/>
      <c r="BG357" s="441"/>
      <c r="BH357" s="441"/>
      <c r="BI357" s="441"/>
      <c r="BJ357" s="441"/>
      <c r="BK357" s="441"/>
      <c r="BL357" s="89" t="s">
        <v>797</v>
      </c>
      <c r="BM357" s="441"/>
      <c r="BN357" s="441"/>
      <c r="BO357" s="89" t="s">
        <v>797</v>
      </c>
      <c r="BP357" s="441"/>
      <c r="BQ357" s="441"/>
      <c r="BR357" s="441"/>
    </row>
    <row r="358" spans="2:70" ht="14.65" customHeight="1">
      <c r="B358" s="437">
        <f t="shared" si="8"/>
        <v>68</v>
      </c>
      <c r="C358" s="255"/>
      <c r="D358" s="438"/>
      <c r="E358" s="438"/>
      <c r="F358" s="89"/>
      <c r="G358" s="89"/>
      <c r="H358" s="89"/>
      <c r="I358" s="89"/>
      <c r="J358" s="89"/>
      <c r="K358" s="89"/>
      <c r="L358" s="89"/>
      <c r="M358" s="89"/>
      <c r="N358" s="89"/>
      <c r="O358" s="89"/>
      <c r="P358" s="89"/>
      <c r="Q358" s="475" t="s">
        <v>797</v>
      </c>
      <c r="R358" s="89"/>
      <c r="S358" s="89"/>
      <c r="T358" s="89"/>
      <c r="U358" s="89"/>
      <c r="V358" s="89"/>
      <c r="W358" s="89"/>
      <c r="X358" s="89" t="s">
        <v>948</v>
      </c>
      <c r="Y358" s="89"/>
      <c r="Z358" s="89"/>
      <c r="AA358" s="89"/>
      <c r="AB358" s="89"/>
      <c r="AC358" s="89"/>
      <c r="AD358" s="89"/>
      <c r="AE358" s="89"/>
      <c r="AF358" s="89"/>
      <c r="AG358" s="89"/>
      <c r="AH358" s="89"/>
      <c r="AI358" s="89"/>
      <c r="AJ358" s="89"/>
      <c r="AK358" s="89"/>
      <c r="AL358" s="89"/>
      <c r="AM358" s="89"/>
      <c r="AN358" s="89"/>
      <c r="AO358" s="89"/>
      <c r="AP358" s="89"/>
      <c r="AQ358" s="89"/>
      <c r="AR358" s="89"/>
      <c r="AS358" s="89"/>
      <c r="AT358" s="89"/>
      <c r="AU358" s="89"/>
      <c r="AV358" s="89"/>
      <c r="AW358" s="89"/>
      <c r="AX358" s="89"/>
      <c r="AY358" s="89"/>
      <c r="AZ358" s="89"/>
      <c r="BA358" s="89" t="s">
        <v>797</v>
      </c>
      <c r="BB358" s="441"/>
      <c r="BC358" s="441"/>
      <c r="BD358" s="89" t="s">
        <v>797</v>
      </c>
      <c r="BE358" s="89" t="s">
        <v>948</v>
      </c>
      <c r="BF358" s="441"/>
      <c r="BG358" s="441"/>
      <c r="BH358" s="441"/>
      <c r="BI358" s="441"/>
      <c r="BJ358" s="441"/>
      <c r="BK358" s="441"/>
      <c r="BL358" s="89" t="s">
        <v>797</v>
      </c>
      <c r="BM358" s="441"/>
      <c r="BN358" s="441"/>
      <c r="BO358" s="89" t="s">
        <v>797</v>
      </c>
      <c r="BP358" s="441"/>
      <c r="BQ358" s="441"/>
      <c r="BR358" s="441"/>
    </row>
    <row r="359" spans="2:70" ht="14.65" customHeight="1">
      <c r="B359" s="437">
        <f t="shared" si="8"/>
        <v>69</v>
      </c>
      <c r="C359" s="255"/>
      <c r="D359" s="438"/>
      <c r="E359" s="438"/>
      <c r="F359" s="89"/>
      <c r="G359" s="89"/>
      <c r="H359" s="89"/>
      <c r="I359" s="89"/>
      <c r="J359" s="89"/>
      <c r="K359" s="89"/>
      <c r="L359" s="89"/>
      <c r="M359" s="89"/>
      <c r="N359" s="89"/>
      <c r="O359" s="89"/>
      <c r="P359" s="89"/>
      <c r="Q359" s="475" t="s">
        <v>797</v>
      </c>
      <c r="R359" s="89"/>
      <c r="S359" s="89"/>
      <c r="T359" s="89"/>
      <c r="U359" s="89"/>
      <c r="V359" s="89"/>
      <c r="W359" s="89"/>
      <c r="X359" s="89" t="s">
        <v>948</v>
      </c>
      <c r="Y359" s="89"/>
      <c r="Z359" s="89"/>
      <c r="AA359" s="89"/>
      <c r="AB359" s="89"/>
      <c r="AC359" s="89"/>
      <c r="AD359" s="89"/>
      <c r="AE359" s="89"/>
      <c r="AF359" s="89"/>
      <c r="AG359" s="89"/>
      <c r="AH359" s="89"/>
      <c r="AI359" s="89"/>
      <c r="AJ359" s="89"/>
      <c r="AK359" s="89"/>
      <c r="AL359" s="89"/>
      <c r="AM359" s="89"/>
      <c r="AN359" s="89"/>
      <c r="AO359" s="89"/>
      <c r="AP359" s="89"/>
      <c r="AQ359" s="89"/>
      <c r="AR359" s="89"/>
      <c r="AS359" s="89"/>
      <c r="AT359" s="89"/>
      <c r="AU359" s="89"/>
      <c r="AV359" s="89"/>
      <c r="AW359" s="89"/>
      <c r="AX359" s="89"/>
      <c r="AY359" s="89"/>
      <c r="AZ359" s="89"/>
      <c r="BA359" s="89" t="s">
        <v>797</v>
      </c>
      <c r="BB359" s="441"/>
      <c r="BC359" s="441"/>
      <c r="BD359" s="89" t="s">
        <v>797</v>
      </c>
      <c r="BE359" s="89" t="s">
        <v>948</v>
      </c>
      <c r="BF359" s="441"/>
      <c r="BG359" s="441"/>
      <c r="BH359" s="441"/>
      <c r="BI359" s="441"/>
      <c r="BJ359" s="441"/>
      <c r="BK359" s="441"/>
      <c r="BL359" s="89" t="s">
        <v>797</v>
      </c>
      <c r="BM359" s="441"/>
      <c r="BN359" s="441"/>
      <c r="BO359" s="89" t="s">
        <v>797</v>
      </c>
      <c r="BP359" s="441"/>
      <c r="BQ359" s="441"/>
      <c r="BR359" s="441"/>
    </row>
    <row r="360" spans="2:70" ht="14.65" customHeight="1">
      <c r="B360" s="437">
        <f t="shared" si="8"/>
        <v>70</v>
      </c>
      <c r="C360" s="255"/>
      <c r="D360" s="438"/>
      <c r="E360" s="438"/>
      <c r="F360" s="89"/>
      <c r="G360" s="89"/>
      <c r="H360" s="89"/>
      <c r="I360" s="89"/>
      <c r="J360" s="89"/>
      <c r="K360" s="89"/>
      <c r="L360" s="89"/>
      <c r="M360" s="89"/>
      <c r="N360" s="89"/>
      <c r="O360" s="89"/>
      <c r="P360" s="89"/>
      <c r="Q360" s="475" t="s">
        <v>797</v>
      </c>
      <c r="R360" s="89"/>
      <c r="S360" s="89"/>
      <c r="T360" s="89"/>
      <c r="U360" s="89"/>
      <c r="V360" s="89"/>
      <c r="W360" s="89"/>
      <c r="X360" s="89" t="s">
        <v>948</v>
      </c>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t="s">
        <v>797</v>
      </c>
      <c r="BB360" s="441"/>
      <c r="BC360" s="441"/>
      <c r="BD360" s="89" t="s">
        <v>797</v>
      </c>
      <c r="BE360" s="89" t="s">
        <v>948</v>
      </c>
      <c r="BF360" s="441"/>
      <c r="BG360" s="441"/>
      <c r="BH360" s="441"/>
      <c r="BI360" s="441"/>
      <c r="BJ360" s="441"/>
      <c r="BK360" s="441"/>
      <c r="BL360" s="89" t="s">
        <v>797</v>
      </c>
      <c r="BM360" s="441"/>
      <c r="BN360" s="441"/>
      <c r="BO360" s="89" t="s">
        <v>797</v>
      </c>
      <c r="BP360" s="441"/>
      <c r="BQ360" s="441"/>
      <c r="BR360" s="441"/>
    </row>
    <row r="361" spans="2:70" ht="14.65" customHeight="1">
      <c r="B361" s="437">
        <f t="shared" si="8"/>
        <v>71</v>
      </c>
      <c r="C361" s="255"/>
      <c r="D361" s="438"/>
      <c r="E361" s="438"/>
      <c r="F361" s="89"/>
      <c r="G361" s="89"/>
      <c r="H361" s="89"/>
      <c r="I361" s="89"/>
      <c r="J361" s="89"/>
      <c r="K361" s="89"/>
      <c r="L361" s="89"/>
      <c r="M361" s="89"/>
      <c r="N361" s="89"/>
      <c r="O361" s="89"/>
      <c r="P361" s="89"/>
      <c r="Q361" s="475" t="s">
        <v>797</v>
      </c>
      <c r="R361" s="89"/>
      <c r="S361" s="89"/>
      <c r="T361" s="89"/>
      <c r="U361" s="89"/>
      <c r="V361" s="89"/>
      <c r="W361" s="89"/>
      <c r="X361" s="89" t="s">
        <v>948</v>
      </c>
      <c r="Y361" s="89"/>
      <c r="Z361" s="89"/>
      <c r="AA361" s="89"/>
      <c r="AB361" s="89"/>
      <c r="AC361" s="89"/>
      <c r="AD361" s="89"/>
      <c r="AE361" s="89"/>
      <c r="AF361" s="89"/>
      <c r="AG361" s="89"/>
      <c r="AH361" s="89"/>
      <c r="AI361" s="89"/>
      <c r="AJ361" s="89"/>
      <c r="AK361" s="89"/>
      <c r="AL361" s="89"/>
      <c r="AM361" s="89"/>
      <c r="AN361" s="89"/>
      <c r="AO361" s="89"/>
      <c r="AP361" s="89"/>
      <c r="AQ361" s="89"/>
      <c r="AR361" s="89"/>
      <c r="AS361" s="89"/>
      <c r="AT361" s="89"/>
      <c r="AU361" s="89"/>
      <c r="AV361" s="89"/>
      <c r="AW361" s="89"/>
      <c r="AX361" s="89"/>
      <c r="AY361" s="89"/>
      <c r="AZ361" s="89"/>
      <c r="BA361" s="89" t="s">
        <v>797</v>
      </c>
      <c r="BB361" s="441"/>
      <c r="BC361" s="441"/>
      <c r="BD361" s="89" t="s">
        <v>797</v>
      </c>
      <c r="BE361" s="89" t="s">
        <v>948</v>
      </c>
      <c r="BF361" s="441"/>
      <c r="BG361" s="441"/>
      <c r="BH361" s="441"/>
      <c r="BI361" s="441"/>
      <c r="BJ361" s="441"/>
      <c r="BK361" s="441"/>
      <c r="BL361" s="89" t="s">
        <v>797</v>
      </c>
      <c r="BM361" s="441"/>
      <c r="BN361" s="441"/>
      <c r="BO361" s="89" t="s">
        <v>797</v>
      </c>
      <c r="BP361" s="441"/>
      <c r="BQ361" s="441"/>
      <c r="BR361" s="441"/>
    </row>
    <row r="362" spans="2:70" ht="14.65" customHeight="1">
      <c r="B362" s="437">
        <f t="shared" si="8"/>
        <v>72</v>
      </c>
      <c r="C362" s="255"/>
      <c r="D362" s="438"/>
      <c r="E362" s="438"/>
      <c r="F362" s="89"/>
      <c r="G362" s="89"/>
      <c r="H362" s="89"/>
      <c r="I362" s="89"/>
      <c r="J362" s="89"/>
      <c r="K362" s="89"/>
      <c r="L362" s="89"/>
      <c r="M362" s="89"/>
      <c r="N362" s="89"/>
      <c r="O362" s="89"/>
      <c r="P362" s="89"/>
      <c r="Q362" s="475" t="s">
        <v>797</v>
      </c>
      <c r="R362" s="89"/>
      <c r="S362" s="89"/>
      <c r="T362" s="89"/>
      <c r="U362" s="89"/>
      <c r="V362" s="89"/>
      <c r="W362" s="89"/>
      <c r="X362" s="89" t="s">
        <v>948</v>
      </c>
      <c r="Y362" s="89"/>
      <c r="Z362" s="89"/>
      <c r="AA362" s="89"/>
      <c r="AB362" s="89"/>
      <c r="AC362" s="89"/>
      <c r="AD362" s="89"/>
      <c r="AE362" s="89"/>
      <c r="AF362" s="89"/>
      <c r="AG362" s="89"/>
      <c r="AH362" s="89"/>
      <c r="AI362" s="89"/>
      <c r="AJ362" s="89"/>
      <c r="AK362" s="89"/>
      <c r="AL362" s="89"/>
      <c r="AM362" s="89"/>
      <c r="AN362" s="89"/>
      <c r="AO362" s="89"/>
      <c r="AP362" s="89"/>
      <c r="AQ362" s="89"/>
      <c r="AR362" s="89"/>
      <c r="AS362" s="89"/>
      <c r="AT362" s="89"/>
      <c r="AU362" s="89"/>
      <c r="AV362" s="89"/>
      <c r="AW362" s="89"/>
      <c r="AX362" s="89"/>
      <c r="AY362" s="89"/>
      <c r="AZ362" s="89"/>
      <c r="BA362" s="89" t="s">
        <v>797</v>
      </c>
      <c r="BB362" s="441"/>
      <c r="BC362" s="441"/>
      <c r="BD362" s="89" t="s">
        <v>797</v>
      </c>
      <c r="BE362" s="89" t="s">
        <v>948</v>
      </c>
      <c r="BF362" s="441"/>
      <c r="BG362" s="441"/>
      <c r="BH362" s="441"/>
      <c r="BI362" s="441"/>
      <c r="BJ362" s="441"/>
      <c r="BK362" s="441"/>
      <c r="BL362" s="89" t="s">
        <v>797</v>
      </c>
      <c r="BM362" s="441"/>
      <c r="BN362" s="441"/>
      <c r="BO362" s="89" t="s">
        <v>797</v>
      </c>
      <c r="BP362" s="441"/>
      <c r="BQ362" s="441"/>
      <c r="BR362" s="441"/>
    </row>
    <row r="363" spans="2:70" ht="14.65" customHeight="1">
      <c r="B363" s="437">
        <f t="shared" si="8"/>
        <v>73</v>
      </c>
      <c r="C363" s="255"/>
      <c r="D363" s="438"/>
      <c r="E363" s="438"/>
      <c r="F363" s="89"/>
      <c r="G363" s="89"/>
      <c r="H363" s="89"/>
      <c r="I363" s="89"/>
      <c r="J363" s="89"/>
      <c r="K363" s="89"/>
      <c r="L363" s="89"/>
      <c r="M363" s="89"/>
      <c r="N363" s="89"/>
      <c r="O363" s="89"/>
      <c r="P363" s="89"/>
      <c r="Q363" s="475" t="s">
        <v>797</v>
      </c>
      <c r="R363" s="89"/>
      <c r="S363" s="89"/>
      <c r="T363" s="89"/>
      <c r="U363" s="89"/>
      <c r="V363" s="89"/>
      <c r="W363" s="89"/>
      <c r="X363" s="89" t="s">
        <v>948</v>
      </c>
      <c r="Y363" s="89"/>
      <c r="Z363" s="89"/>
      <c r="AA363" s="89"/>
      <c r="AB363" s="89"/>
      <c r="AC363" s="89"/>
      <c r="AD363" s="89"/>
      <c r="AE363" s="89"/>
      <c r="AF363" s="89"/>
      <c r="AG363" s="89"/>
      <c r="AH363" s="89"/>
      <c r="AI363" s="89"/>
      <c r="AJ363" s="89"/>
      <c r="AK363" s="89"/>
      <c r="AL363" s="89"/>
      <c r="AM363" s="89"/>
      <c r="AN363" s="89"/>
      <c r="AO363" s="89"/>
      <c r="AP363" s="89"/>
      <c r="AQ363" s="89"/>
      <c r="AR363" s="89"/>
      <c r="AS363" s="89"/>
      <c r="AT363" s="89"/>
      <c r="AU363" s="89"/>
      <c r="AV363" s="89"/>
      <c r="AW363" s="89"/>
      <c r="AX363" s="89"/>
      <c r="AY363" s="89"/>
      <c r="AZ363" s="89"/>
      <c r="BA363" s="89" t="s">
        <v>797</v>
      </c>
      <c r="BB363" s="441"/>
      <c r="BC363" s="441"/>
      <c r="BD363" s="89" t="s">
        <v>797</v>
      </c>
      <c r="BE363" s="89" t="s">
        <v>948</v>
      </c>
      <c r="BF363" s="441"/>
      <c r="BG363" s="441"/>
      <c r="BH363" s="441"/>
      <c r="BI363" s="441"/>
      <c r="BJ363" s="441"/>
      <c r="BK363" s="441"/>
      <c r="BL363" s="89" t="s">
        <v>797</v>
      </c>
      <c r="BM363" s="441"/>
      <c r="BN363" s="441"/>
      <c r="BO363" s="89" t="s">
        <v>797</v>
      </c>
      <c r="BP363" s="441"/>
      <c r="BQ363" s="441"/>
      <c r="BR363" s="441"/>
    </row>
    <row r="364" spans="2:70" ht="14.65" customHeight="1">
      <c r="B364" s="437">
        <f t="shared" si="8"/>
        <v>74</v>
      </c>
      <c r="C364" s="255"/>
      <c r="D364" s="438"/>
      <c r="E364" s="438"/>
      <c r="F364" s="89"/>
      <c r="G364" s="89"/>
      <c r="H364" s="89"/>
      <c r="I364" s="89"/>
      <c r="J364" s="89"/>
      <c r="K364" s="89"/>
      <c r="L364" s="89"/>
      <c r="M364" s="89"/>
      <c r="N364" s="89"/>
      <c r="O364" s="89"/>
      <c r="P364" s="89"/>
      <c r="Q364" s="475" t="s">
        <v>797</v>
      </c>
      <c r="R364" s="89"/>
      <c r="S364" s="89"/>
      <c r="T364" s="89"/>
      <c r="U364" s="89"/>
      <c r="V364" s="89"/>
      <c r="W364" s="89"/>
      <c r="X364" s="89" t="s">
        <v>948</v>
      </c>
      <c r="Y364" s="89"/>
      <c r="Z364" s="89"/>
      <c r="AA364" s="89"/>
      <c r="AB364" s="89"/>
      <c r="AC364" s="89"/>
      <c r="AD364" s="89"/>
      <c r="AE364" s="89"/>
      <c r="AF364" s="89"/>
      <c r="AG364" s="89"/>
      <c r="AH364" s="89"/>
      <c r="AI364" s="89"/>
      <c r="AJ364" s="89"/>
      <c r="AK364" s="89"/>
      <c r="AL364" s="89"/>
      <c r="AM364" s="89"/>
      <c r="AN364" s="89"/>
      <c r="AO364" s="89"/>
      <c r="AP364" s="89"/>
      <c r="AQ364" s="89"/>
      <c r="AR364" s="89"/>
      <c r="AS364" s="89"/>
      <c r="AT364" s="89"/>
      <c r="AU364" s="89"/>
      <c r="AV364" s="89"/>
      <c r="AW364" s="89"/>
      <c r="AX364" s="89"/>
      <c r="AY364" s="89"/>
      <c r="AZ364" s="89"/>
      <c r="BA364" s="89" t="s">
        <v>797</v>
      </c>
      <c r="BB364" s="441"/>
      <c r="BC364" s="441"/>
      <c r="BD364" s="89" t="s">
        <v>797</v>
      </c>
      <c r="BE364" s="89" t="s">
        <v>948</v>
      </c>
      <c r="BF364" s="441"/>
      <c r="BG364" s="441"/>
      <c r="BH364" s="441"/>
      <c r="BI364" s="441"/>
      <c r="BJ364" s="441"/>
      <c r="BK364" s="441"/>
      <c r="BL364" s="89" t="s">
        <v>797</v>
      </c>
      <c r="BM364" s="441"/>
      <c r="BN364" s="441"/>
      <c r="BO364" s="89" t="s">
        <v>797</v>
      </c>
      <c r="BP364" s="441"/>
      <c r="BQ364" s="441"/>
      <c r="BR364" s="441"/>
    </row>
    <row r="365" spans="2:70" ht="14.65" customHeight="1">
      <c r="B365" s="437">
        <f t="shared" si="8"/>
        <v>75</v>
      </c>
      <c r="C365" s="255"/>
      <c r="D365" s="438"/>
      <c r="E365" s="438"/>
      <c r="F365" s="89"/>
      <c r="G365" s="89"/>
      <c r="H365" s="89"/>
      <c r="I365" s="89"/>
      <c r="J365" s="89"/>
      <c r="K365" s="89"/>
      <c r="L365" s="89"/>
      <c r="M365" s="89"/>
      <c r="N365" s="89"/>
      <c r="O365" s="89"/>
      <c r="P365" s="89"/>
      <c r="Q365" s="475" t="s">
        <v>797</v>
      </c>
      <c r="R365" s="89"/>
      <c r="S365" s="89"/>
      <c r="T365" s="89"/>
      <c r="U365" s="89"/>
      <c r="V365" s="89"/>
      <c r="W365" s="89"/>
      <c r="X365" s="89" t="s">
        <v>948</v>
      </c>
      <c r="Y365" s="89"/>
      <c r="Z365" s="89"/>
      <c r="AA365" s="89"/>
      <c r="AB365" s="89"/>
      <c r="AC365" s="89"/>
      <c r="AD365" s="89"/>
      <c r="AE365" s="89"/>
      <c r="AF365" s="89"/>
      <c r="AG365" s="89"/>
      <c r="AH365" s="89"/>
      <c r="AI365" s="89"/>
      <c r="AJ365" s="89"/>
      <c r="AK365" s="89"/>
      <c r="AL365" s="89"/>
      <c r="AM365" s="89"/>
      <c r="AN365" s="89"/>
      <c r="AO365" s="89"/>
      <c r="AP365" s="89"/>
      <c r="AQ365" s="89"/>
      <c r="AR365" s="89"/>
      <c r="AS365" s="89"/>
      <c r="AT365" s="89"/>
      <c r="AU365" s="89"/>
      <c r="AV365" s="89"/>
      <c r="AW365" s="89"/>
      <c r="AX365" s="89"/>
      <c r="AY365" s="89"/>
      <c r="AZ365" s="89"/>
      <c r="BA365" s="89" t="s">
        <v>797</v>
      </c>
      <c r="BB365" s="441"/>
      <c r="BC365" s="441"/>
      <c r="BD365" s="89" t="s">
        <v>797</v>
      </c>
      <c r="BE365" s="89" t="s">
        <v>948</v>
      </c>
      <c r="BF365" s="441"/>
      <c r="BG365" s="441"/>
      <c r="BH365" s="441"/>
      <c r="BI365" s="441"/>
      <c r="BJ365" s="441"/>
      <c r="BK365" s="441"/>
      <c r="BL365" s="89" t="s">
        <v>797</v>
      </c>
      <c r="BM365" s="441"/>
      <c r="BN365" s="441"/>
      <c r="BO365" s="89" t="s">
        <v>797</v>
      </c>
      <c r="BP365" s="441"/>
      <c r="BQ365" s="441"/>
      <c r="BR365" s="441"/>
    </row>
    <row r="366" spans="2:70" ht="14.65" customHeight="1">
      <c r="B366" s="437">
        <f t="shared" si="8"/>
        <v>76</v>
      </c>
      <c r="C366" s="255"/>
      <c r="D366" s="438"/>
      <c r="E366" s="438"/>
      <c r="F366" s="89"/>
      <c r="G366" s="89"/>
      <c r="H366" s="89"/>
      <c r="I366" s="89"/>
      <c r="J366" s="89"/>
      <c r="K366" s="89"/>
      <c r="L366" s="89"/>
      <c r="M366" s="89"/>
      <c r="N366" s="89"/>
      <c r="O366" s="89"/>
      <c r="P366" s="89"/>
      <c r="Q366" s="475" t="s">
        <v>797</v>
      </c>
      <c r="R366" s="89"/>
      <c r="S366" s="89"/>
      <c r="T366" s="89"/>
      <c r="U366" s="89"/>
      <c r="V366" s="89"/>
      <c r="W366" s="89"/>
      <c r="X366" s="89" t="s">
        <v>948</v>
      </c>
      <c r="Y366" s="89"/>
      <c r="Z366" s="89"/>
      <c r="AA366" s="89"/>
      <c r="AB366" s="89"/>
      <c r="AC366" s="89"/>
      <c r="AD366" s="89"/>
      <c r="AE366" s="89"/>
      <c r="AF366" s="89"/>
      <c r="AG366" s="89"/>
      <c r="AH366" s="89"/>
      <c r="AI366" s="89"/>
      <c r="AJ366" s="89"/>
      <c r="AK366" s="89"/>
      <c r="AL366" s="89"/>
      <c r="AM366" s="89"/>
      <c r="AN366" s="89"/>
      <c r="AO366" s="89"/>
      <c r="AP366" s="89"/>
      <c r="AQ366" s="89"/>
      <c r="AR366" s="89"/>
      <c r="AS366" s="89"/>
      <c r="AT366" s="89"/>
      <c r="AU366" s="89"/>
      <c r="AV366" s="89"/>
      <c r="AW366" s="89"/>
      <c r="AX366" s="89"/>
      <c r="AY366" s="89"/>
      <c r="AZ366" s="89"/>
      <c r="BA366" s="89" t="s">
        <v>797</v>
      </c>
      <c r="BB366" s="441"/>
      <c r="BC366" s="441"/>
      <c r="BD366" s="89" t="s">
        <v>797</v>
      </c>
      <c r="BE366" s="89" t="s">
        <v>948</v>
      </c>
      <c r="BF366" s="441"/>
      <c r="BG366" s="441"/>
      <c r="BH366" s="441"/>
      <c r="BI366" s="441"/>
      <c r="BJ366" s="441"/>
      <c r="BK366" s="441"/>
      <c r="BL366" s="89" t="s">
        <v>797</v>
      </c>
      <c r="BM366" s="441"/>
      <c r="BN366" s="441"/>
      <c r="BO366" s="89" t="s">
        <v>797</v>
      </c>
      <c r="BP366" s="441"/>
      <c r="BQ366" s="441"/>
      <c r="BR366" s="441"/>
    </row>
    <row r="367" spans="2:70" ht="14.65" customHeight="1">
      <c r="B367" s="437">
        <f t="shared" si="8"/>
        <v>77</v>
      </c>
      <c r="C367" s="255"/>
      <c r="D367" s="438"/>
      <c r="E367" s="438"/>
      <c r="F367" s="89"/>
      <c r="G367" s="89"/>
      <c r="H367" s="89"/>
      <c r="I367" s="89"/>
      <c r="J367" s="89"/>
      <c r="K367" s="89"/>
      <c r="L367" s="89"/>
      <c r="M367" s="89"/>
      <c r="N367" s="89"/>
      <c r="O367" s="89"/>
      <c r="P367" s="89"/>
      <c r="Q367" s="475" t="s">
        <v>797</v>
      </c>
      <c r="R367" s="89"/>
      <c r="S367" s="89"/>
      <c r="T367" s="89"/>
      <c r="U367" s="89"/>
      <c r="V367" s="89"/>
      <c r="W367" s="89"/>
      <c r="X367" s="89" t="s">
        <v>948</v>
      </c>
      <c r="Y367" s="89"/>
      <c r="Z367" s="89"/>
      <c r="AA367" s="89"/>
      <c r="AB367" s="89"/>
      <c r="AC367" s="89"/>
      <c r="AD367" s="89"/>
      <c r="AE367" s="89"/>
      <c r="AF367" s="89"/>
      <c r="AG367" s="89"/>
      <c r="AH367" s="89"/>
      <c r="AI367" s="89"/>
      <c r="AJ367" s="89"/>
      <c r="AK367" s="89"/>
      <c r="AL367" s="89"/>
      <c r="AM367" s="89"/>
      <c r="AN367" s="89"/>
      <c r="AO367" s="89"/>
      <c r="AP367" s="89"/>
      <c r="AQ367" s="89"/>
      <c r="AR367" s="89"/>
      <c r="AS367" s="89"/>
      <c r="AT367" s="89"/>
      <c r="AU367" s="89"/>
      <c r="AV367" s="89"/>
      <c r="AW367" s="89"/>
      <c r="AX367" s="89"/>
      <c r="AY367" s="89"/>
      <c r="AZ367" s="89"/>
      <c r="BA367" s="89" t="s">
        <v>797</v>
      </c>
      <c r="BB367" s="441"/>
      <c r="BC367" s="441"/>
      <c r="BD367" s="89" t="s">
        <v>797</v>
      </c>
      <c r="BE367" s="89" t="s">
        <v>948</v>
      </c>
      <c r="BF367" s="441"/>
      <c r="BG367" s="441"/>
      <c r="BH367" s="441"/>
      <c r="BI367" s="441"/>
      <c r="BJ367" s="441"/>
      <c r="BK367" s="441"/>
      <c r="BL367" s="89" t="s">
        <v>797</v>
      </c>
      <c r="BM367" s="441"/>
      <c r="BN367" s="441"/>
      <c r="BO367" s="89" t="s">
        <v>797</v>
      </c>
      <c r="BP367" s="441"/>
      <c r="BQ367" s="441"/>
      <c r="BR367" s="441"/>
    </row>
    <row r="368" spans="2:70" ht="14.25">
      <c r="B368" s="437">
        <f t="shared" si="8"/>
        <v>78</v>
      </c>
      <c r="C368" s="255"/>
      <c r="D368" s="438"/>
      <c r="E368" s="438"/>
      <c r="F368" s="89"/>
      <c r="G368" s="89"/>
      <c r="H368" s="89"/>
      <c r="I368" s="89"/>
      <c r="J368" s="89"/>
      <c r="K368" s="89"/>
      <c r="L368" s="89"/>
      <c r="M368" s="89"/>
      <c r="N368" s="89"/>
      <c r="O368" s="89"/>
      <c r="P368" s="89"/>
      <c r="Q368" s="475" t="s">
        <v>797</v>
      </c>
      <c r="R368" s="89"/>
      <c r="S368" s="89"/>
      <c r="T368" s="89"/>
      <c r="U368" s="89"/>
      <c r="V368" s="89"/>
      <c r="W368" s="89"/>
      <c r="X368" s="89" t="s">
        <v>948</v>
      </c>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89"/>
      <c r="AY368" s="89"/>
      <c r="AZ368" s="89"/>
      <c r="BA368" s="89" t="s">
        <v>797</v>
      </c>
      <c r="BB368" s="441"/>
      <c r="BC368" s="441"/>
      <c r="BD368" s="89" t="s">
        <v>797</v>
      </c>
      <c r="BE368" s="89" t="s">
        <v>948</v>
      </c>
      <c r="BF368" s="441"/>
      <c r="BG368" s="441"/>
      <c r="BH368" s="441"/>
      <c r="BI368" s="441"/>
      <c r="BJ368" s="441"/>
      <c r="BK368" s="441"/>
      <c r="BL368" s="89" t="s">
        <v>797</v>
      </c>
      <c r="BM368" s="441"/>
      <c r="BN368" s="441"/>
      <c r="BO368" s="89" t="s">
        <v>797</v>
      </c>
      <c r="BP368" s="441"/>
      <c r="BQ368" s="441"/>
      <c r="BR368" s="441"/>
    </row>
    <row r="369" spans="1:76" ht="12">
      <c r="C369" s="125" t="s">
        <v>804</v>
      </c>
      <c r="D369" s="98"/>
      <c r="E369" s="98"/>
      <c r="V369" t="s">
        <v>996</v>
      </c>
      <c r="Y369" t="s">
        <v>996</v>
      </c>
      <c r="AB369" t="s">
        <v>996</v>
      </c>
      <c r="AE369" t="s">
        <v>996</v>
      </c>
      <c r="AG369" t="s">
        <v>997</v>
      </c>
    </row>
    <row r="370" spans="1:76" ht="12">
      <c r="C370" s="251" t="s">
        <v>998</v>
      </c>
      <c r="V370" t="s">
        <v>999</v>
      </c>
      <c r="Y370" t="s">
        <v>999</v>
      </c>
      <c r="AB370" t="s">
        <v>999</v>
      </c>
      <c r="AE370" t="s">
        <v>999</v>
      </c>
    </row>
    <row r="371" spans="1:76" ht="12">
      <c r="C371" t="s">
        <v>805</v>
      </c>
      <c r="BB371" s="476"/>
      <c r="BC371" s="476"/>
      <c r="BD371" s="476"/>
      <c r="BE371" s="476"/>
      <c r="BF371" s="476"/>
      <c r="BG371" s="476"/>
      <c r="BH371" s="476"/>
    </row>
    <row r="372" spans="1:76" ht="12"/>
    <row r="373" spans="1:76" ht="12"/>
    <row r="374" spans="1:76" ht="15.75">
      <c r="C374" s="9" t="s">
        <v>873</v>
      </c>
    </row>
    <row r="375" spans="1:76" ht="12.75">
      <c r="C375" s="451" t="s">
        <v>874</v>
      </c>
      <c r="D375" s="452"/>
      <c r="E375" s="452"/>
      <c r="F375" s="452"/>
      <c r="G375" s="453"/>
    </row>
    <row r="376" spans="1:76" ht="12.75">
      <c r="C376" s="451" t="s">
        <v>875</v>
      </c>
      <c r="D376" s="452"/>
      <c r="E376" s="452"/>
      <c r="F376" s="452"/>
      <c r="G376" s="453"/>
    </row>
    <row r="377" spans="1:76" ht="12.75">
      <c r="C377" s="451" t="s">
        <v>876</v>
      </c>
      <c r="D377" s="452"/>
      <c r="E377" s="452"/>
      <c r="F377" s="452"/>
      <c r="G377" s="453"/>
    </row>
    <row r="378" spans="1:76" ht="12">
      <c r="C378">
        <v>1</v>
      </c>
      <c r="D378">
        <v>2</v>
      </c>
      <c r="E378">
        <v>3</v>
      </c>
      <c r="F378">
        <v>4</v>
      </c>
      <c r="G378">
        <v>5</v>
      </c>
      <c r="H378">
        <v>6</v>
      </c>
      <c r="I378">
        <v>7</v>
      </c>
      <c r="J378">
        <v>8</v>
      </c>
      <c r="K378">
        <v>9</v>
      </c>
      <c r="L378">
        <v>10</v>
      </c>
      <c r="M378">
        <v>11</v>
      </c>
      <c r="N378">
        <v>12</v>
      </c>
      <c r="O378">
        <v>13</v>
      </c>
      <c r="P378">
        <v>14</v>
      </c>
      <c r="Q378">
        <v>15</v>
      </c>
      <c r="R378">
        <v>16</v>
      </c>
      <c r="S378">
        <v>17</v>
      </c>
      <c r="T378">
        <v>18</v>
      </c>
      <c r="U378">
        <v>19</v>
      </c>
      <c r="V378">
        <v>20</v>
      </c>
      <c r="W378">
        <v>21</v>
      </c>
      <c r="X378">
        <v>22</v>
      </c>
      <c r="Y378">
        <v>23</v>
      </c>
      <c r="Z378">
        <v>24</v>
      </c>
      <c r="AA378">
        <v>25</v>
      </c>
      <c r="AB378">
        <v>26</v>
      </c>
      <c r="AC378">
        <v>27</v>
      </c>
      <c r="AD378">
        <v>28</v>
      </c>
      <c r="AE378">
        <v>29</v>
      </c>
      <c r="AF378">
        <v>30</v>
      </c>
      <c r="AG378">
        <v>31</v>
      </c>
      <c r="AH378">
        <v>32</v>
      </c>
      <c r="AI378">
        <v>33</v>
      </c>
      <c r="AJ378">
        <v>34</v>
      </c>
      <c r="AK378">
        <v>35</v>
      </c>
      <c r="AL378">
        <v>36</v>
      </c>
      <c r="AM378">
        <v>37</v>
      </c>
      <c r="AN378">
        <v>38</v>
      </c>
      <c r="AO378">
        <v>39</v>
      </c>
      <c r="AP378">
        <v>40</v>
      </c>
      <c r="AQ378">
        <v>41</v>
      </c>
      <c r="AR378">
        <v>42</v>
      </c>
      <c r="AS378">
        <v>43</v>
      </c>
      <c r="AT378">
        <v>44</v>
      </c>
      <c r="AU378">
        <v>45</v>
      </c>
      <c r="AV378">
        <v>46</v>
      </c>
      <c r="AW378">
        <v>47</v>
      </c>
      <c r="AX378">
        <v>48</v>
      </c>
      <c r="AY378">
        <v>49</v>
      </c>
      <c r="AZ378">
        <v>50</v>
      </c>
      <c r="BA378">
        <v>51</v>
      </c>
      <c r="BB378">
        <v>52</v>
      </c>
      <c r="BC378">
        <v>53</v>
      </c>
      <c r="BD378">
        <v>54</v>
      </c>
      <c r="BE378">
        <v>55</v>
      </c>
      <c r="BF378">
        <v>56</v>
      </c>
      <c r="BG378">
        <v>57</v>
      </c>
      <c r="BH378">
        <v>58</v>
      </c>
      <c r="BI378">
        <v>59</v>
      </c>
      <c r="BJ378">
        <v>60</v>
      </c>
      <c r="BK378">
        <v>61</v>
      </c>
      <c r="BL378">
        <v>62</v>
      </c>
      <c r="BM378">
        <v>63</v>
      </c>
      <c r="BN378">
        <v>64</v>
      </c>
      <c r="BO378">
        <v>65</v>
      </c>
      <c r="BP378">
        <v>66</v>
      </c>
      <c r="BQ378">
        <v>67</v>
      </c>
      <c r="BR378">
        <v>68</v>
      </c>
      <c r="BS378">
        <v>69</v>
      </c>
      <c r="BT378">
        <v>70</v>
      </c>
      <c r="BU378">
        <v>71</v>
      </c>
      <c r="BV378">
        <v>72</v>
      </c>
      <c r="BW378">
        <v>73</v>
      </c>
      <c r="BX378">
        <v>74</v>
      </c>
    </row>
    <row r="379" spans="1:76" ht="20.25">
      <c r="C379" s="96" t="s">
        <v>877</v>
      </c>
      <c r="AS379" s="454"/>
      <c r="AT379" s="454"/>
      <c r="AU379" s="454"/>
      <c r="AV379" s="454"/>
      <c r="AW379" s="454"/>
      <c r="AX379" s="454"/>
      <c r="AY379" s="454"/>
      <c r="AZ379" s="454"/>
      <c r="BA379" s="454"/>
      <c r="BB379" s="454"/>
      <c r="BC379" s="454"/>
      <c r="BD379" s="454"/>
      <c r="BE379" s="454"/>
      <c r="BF379" s="454"/>
      <c r="BG379" s="454"/>
      <c r="BH379" s="454"/>
      <c r="BI379" s="454"/>
      <c r="BJ379" s="454"/>
      <c r="BK379" s="454"/>
      <c r="BL379" s="454"/>
      <c r="BM379" s="454"/>
      <c r="BN379" s="454"/>
      <c r="BO379" s="454"/>
    </row>
    <row r="380" spans="1:76" ht="23.25">
      <c r="C380" s="427">
        <v>2024</v>
      </c>
      <c r="F380" s="455"/>
      <c r="G380" s="455"/>
      <c r="H380" s="455"/>
      <c r="I380" s="455"/>
      <c r="J380" s="455"/>
      <c r="K380" s="455"/>
      <c r="L380" s="455"/>
      <c r="M380" s="455"/>
      <c r="N380" s="455"/>
      <c r="O380" s="455"/>
      <c r="P380" s="455"/>
      <c r="Q380" s="455"/>
      <c r="R380" s="455"/>
      <c r="S380" s="455"/>
      <c r="T380" s="455"/>
      <c r="U380" s="455"/>
      <c r="V380" s="455"/>
      <c r="W380" s="455"/>
      <c r="X380" s="455"/>
      <c r="Y380" s="455"/>
      <c r="Z380" s="455"/>
      <c r="AA380" s="455"/>
      <c r="AB380" s="455"/>
      <c r="AC380" s="455"/>
      <c r="AD380" s="455"/>
      <c r="AE380" s="455"/>
      <c r="AF380" s="455"/>
      <c r="AG380" s="455"/>
      <c r="AH380" s="455"/>
      <c r="AI380" s="455"/>
      <c r="AJ380" s="455"/>
      <c r="AK380" s="455"/>
      <c r="AL380" s="455"/>
      <c r="AM380" s="455"/>
      <c r="AN380" s="455"/>
      <c r="AS380" s="456"/>
      <c r="AT380" s="457"/>
      <c r="AU380" s="457"/>
      <c r="AV380" s="457"/>
      <c r="AW380" s="457"/>
      <c r="AX380" s="457"/>
      <c r="AY380" s="457"/>
      <c r="AZ380" s="457"/>
      <c r="BA380" s="457"/>
      <c r="BB380" s="457"/>
      <c r="BC380" s="457"/>
      <c r="BD380" s="457"/>
      <c r="BE380" s="457"/>
      <c r="BF380" s="457"/>
      <c r="BG380" s="457"/>
      <c r="BH380" s="457"/>
      <c r="BI380" s="457"/>
      <c r="BJ380" s="457"/>
      <c r="BK380" s="457"/>
      <c r="BL380" s="457"/>
      <c r="BM380" s="457"/>
      <c r="BN380" s="457"/>
      <c r="BO380" s="457"/>
    </row>
    <row r="381" spans="1:76" ht="21" thickBot="1">
      <c r="B381" s="437"/>
      <c r="C381" s="266"/>
      <c r="F381" s="458" t="s">
        <v>878</v>
      </c>
      <c r="G381" s="459"/>
      <c r="H381" s="459"/>
      <c r="I381" s="459"/>
      <c r="J381" s="459"/>
      <c r="K381" s="459"/>
      <c r="L381" s="459"/>
      <c r="M381" s="459"/>
      <c r="N381" s="459"/>
      <c r="O381" s="459"/>
      <c r="P381" s="459"/>
      <c r="Q381" s="459"/>
      <c r="R381" s="459"/>
      <c r="S381" s="459"/>
      <c r="T381" s="459"/>
      <c r="U381" s="459"/>
      <c r="V381" s="459"/>
      <c r="W381" s="459"/>
      <c r="X381" s="459"/>
      <c r="Y381" s="459"/>
      <c r="Z381" s="459"/>
      <c r="AA381" s="459"/>
      <c r="AB381" s="459"/>
      <c r="AC381" s="459"/>
      <c r="AD381" s="459"/>
      <c r="AE381" s="459"/>
      <c r="AF381" s="459"/>
      <c r="AG381" s="459"/>
      <c r="AH381" s="459"/>
      <c r="AI381" s="459"/>
      <c r="AJ381" s="459"/>
      <c r="AK381" s="459"/>
      <c r="AL381" s="459"/>
      <c r="AM381" s="459"/>
      <c r="AN381" s="459"/>
      <c r="AO381" s="459"/>
      <c r="AP381" s="459"/>
      <c r="AQ381" s="459"/>
      <c r="AR381" s="459"/>
      <c r="AS381" s="459"/>
      <c r="AT381" s="459"/>
      <c r="AU381" s="459"/>
      <c r="AV381" s="459"/>
      <c r="AW381" s="459"/>
      <c r="AX381" s="459"/>
      <c r="AY381" s="459"/>
      <c r="AZ381" s="459"/>
      <c r="BA381" s="523"/>
      <c r="BB381" s="523"/>
      <c r="BC381" s="523"/>
      <c r="BD381" s="523"/>
      <c r="BE381" s="523"/>
      <c r="BF381" s="523"/>
      <c r="BG381" s="523"/>
      <c r="BH381" s="523"/>
      <c r="BI381" s="523"/>
      <c r="BJ381" s="523"/>
      <c r="BK381" s="523"/>
      <c r="BL381" s="523"/>
      <c r="BM381" s="523"/>
      <c r="BN381" s="460"/>
      <c r="BO381" s="460"/>
      <c r="BP381" s="460"/>
      <c r="BQ381" s="460"/>
      <c r="BR381" s="460"/>
    </row>
    <row r="382" spans="1:76" ht="30.4" customHeight="1" thickBot="1">
      <c r="B382" s="437"/>
      <c r="C382" s="266"/>
      <c r="F382" s="461" t="s">
        <v>879</v>
      </c>
      <c r="G382" s="462"/>
      <c r="H382" s="524" t="s">
        <v>880</v>
      </c>
      <c r="I382" s="531"/>
      <c r="J382" s="524" t="s">
        <v>609</v>
      </c>
      <c r="K382" s="525"/>
      <c r="L382" s="531"/>
      <c r="M382" s="532" t="s">
        <v>881</v>
      </c>
      <c r="N382" s="533"/>
      <c r="O382" s="532" t="s">
        <v>882</v>
      </c>
      <c r="P382" s="533"/>
      <c r="Q382" s="533"/>
      <c r="R382" s="533"/>
      <c r="S382" s="533"/>
      <c r="T382" s="533"/>
      <c r="U382" s="524" t="s">
        <v>883</v>
      </c>
      <c r="V382" s="525"/>
      <c r="W382" s="531"/>
      <c r="X382" s="524" t="s">
        <v>884</v>
      </c>
      <c r="Y382" s="525"/>
      <c r="Z382" s="525"/>
      <c r="AA382" s="525"/>
      <c r="AB382" s="525"/>
      <c r="AC382" s="525"/>
      <c r="AD382" s="525"/>
      <c r="AE382" s="525"/>
      <c r="AF382" s="525"/>
      <c r="AG382" s="463" t="s">
        <v>885</v>
      </c>
      <c r="AH382" s="464"/>
      <c r="AI382" s="464"/>
      <c r="AJ382" s="464"/>
      <c r="AK382" s="464"/>
      <c r="AL382" s="464"/>
      <c r="AM382" s="464"/>
      <c r="AN382" s="464"/>
      <c r="AO382" s="464"/>
      <c r="AP382" s="464"/>
      <c r="AQ382" s="464"/>
      <c r="AR382" s="464"/>
      <c r="AS382" s="464"/>
      <c r="AT382" s="464"/>
      <c r="AU382" s="464"/>
      <c r="AV382" s="465"/>
      <c r="AW382" s="540" t="s">
        <v>886</v>
      </c>
      <c r="AX382" s="540"/>
      <c r="AY382" s="540"/>
      <c r="AZ382" s="541"/>
      <c r="BA382" s="542" t="s">
        <v>887</v>
      </c>
      <c r="BB382" s="542"/>
      <c r="BC382" s="543"/>
      <c r="BD382" s="534" t="s">
        <v>888</v>
      </c>
      <c r="BE382" s="535"/>
      <c r="BF382" s="535"/>
      <c r="BG382" s="535"/>
      <c r="BH382" s="535"/>
      <c r="BI382" s="535"/>
      <c r="BJ382" s="535"/>
      <c r="BK382" s="536"/>
      <c r="BL382" s="537" t="s">
        <v>1000</v>
      </c>
      <c r="BM382" s="538"/>
      <c r="BN382" s="538"/>
      <c r="BO382" s="538"/>
      <c r="BP382" s="538"/>
      <c r="BQ382" s="538"/>
      <c r="BR382" s="538"/>
      <c r="BS382" s="539" t="s">
        <v>1001</v>
      </c>
      <c r="BT382" s="539"/>
      <c r="BU382" s="539"/>
      <c r="BV382" s="539"/>
      <c r="BW382" s="539"/>
    </row>
    <row r="383" spans="1:76" ht="96">
      <c r="A383" s="573"/>
      <c r="B383" s="466"/>
      <c r="C383" s="467" t="s">
        <v>461</v>
      </c>
      <c r="D383" s="467" t="s">
        <v>462</v>
      </c>
      <c r="E383" s="467" t="s">
        <v>463</v>
      </c>
      <c r="F383" s="468" t="s">
        <v>762</v>
      </c>
      <c r="G383" s="468" t="s">
        <v>763</v>
      </c>
      <c r="H383" s="468" t="s">
        <v>890</v>
      </c>
      <c r="I383" s="468" t="s">
        <v>891</v>
      </c>
      <c r="J383" s="468" t="s">
        <v>892</v>
      </c>
      <c r="K383" s="469" t="s">
        <v>893</v>
      </c>
      <c r="L383" s="469" t="s">
        <v>894</v>
      </c>
      <c r="M383" s="470" t="s">
        <v>895</v>
      </c>
      <c r="N383" s="469" t="s">
        <v>896</v>
      </c>
      <c r="O383" s="467" t="s">
        <v>390</v>
      </c>
      <c r="P383" s="468" t="s">
        <v>396</v>
      </c>
      <c r="Q383" s="467" t="s">
        <v>897</v>
      </c>
      <c r="R383" s="468" t="s">
        <v>898</v>
      </c>
      <c r="S383" s="467" t="s">
        <v>899</v>
      </c>
      <c r="T383" s="468" t="s">
        <v>900</v>
      </c>
      <c r="U383" s="468" t="s">
        <v>901</v>
      </c>
      <c r="V383" s="468" t="s">
        <v>902</v>
      </c>
      <c r="W383" s="468" t="s">
        <v>903</v>
      </c>
      <c r="X383" s="468" t="s">
        <v>904</v>
      </c>
      <c r="Y383" s="468" t="s">
        <v>902</v>
      </c>
      <c r="Z383" s="468" t="s">
        <v>905</v>
      </c>
      <c r="AA383" s="468" t="s">
        <v>906</v>
      </c>
      <c r="AB383" s="468" t="s">
        <v>902</v>
      </c>
      <c r="AC383" s="468" t="s">
        <v>599</v>
      </c>
      <c r="AD383" s="468" t="s">
        <v>907</v>
      </c>
      <c r="AE383" s="468" t="s">
        <v>902</v>
      </c>
      <c r="AF383" s="468" t="s">
        <v>908</v>
      </c>
      <c r="AG383" s="468" t="s">
        <v>909</v>
      </c>
      <c r="AH383" s="468" t="s">
        <v>910</v>
      </c>
      <c r="AI383" s="468" t="s">
        <v>911</v>
      </c>
      <c r="AJ383" s="468" t="s">
        <v>912</v>
      </c>
      <c r="AK383" s="468" t="s">
        <v>913</v>
      </c>
      <c r="AL383" s="468" t="s">
        <v>914</v>
      </c>
      <c r="AM383" s="468" t="s">
        <v>915</v>
      </c>
      <c r="AN383" s="467" t="s">
        <v>1002</v>
      </c>
      <c r="AO383" s="467" t="s">
        <v>1003</v>
      </c>
      <c r="AP383" s="467" t="s">
        <v>1004</v>
      </c>
      <c r="AQ383" s="467" t="s">
        <v>1005</v>
      </c>
      <c r="AR383" s="467" t="s">
        <v>1006</v>
      </c>
      <c r="AS383" s="467" t="s">
        <v>1007</v>
      </c>
      <c r="AT383" s="467" t="s">
        <v>1008</v>
      </c>
      <c r="AU383" s="468" t="s">
        <v>923</v>
      </c>
      <c r="AV383" s="468" t="s">
        <v>924</v>
      </c>
      <c r="AW383" s="468" t="s">
        <v>925</v>
      </c>
      <c r="AX383" s="468" t="s">
        <v>926</v>
      </c>
      <c r="AY383" s="468" t="s">
        <v>927</v>
      </c>
      <c r="AZ383" s="471" t="s">
        <v>928</v>
      </c>
      <c r="BA383" s="472" t="s">
        <v>929</v>
      </c>
      <c r="BB383" s="467" t="s">
        <v>930</v>
      </c>
      <c r="BC383" s="472" t="s">
        <v>931</v>
      </c>
      <c r="BD383" s="472" t="s">
        <v>768</v>
      </c>
      <c r="BE383" s="473" t="s">
        <v>932</v>
      </c>
      <c r="BF383" s="473" t="s">
        <v>933</v>
      </c>
      <c r="BG383" s="473" t="s">
        <v>934</v>
      </c>
      <c r="BH383" s="473" t="s">
        <v>935</v>
      </c>
      <c r="BI383" s="474" t="s">
        <v>936</v>
      </c>
      <c r="BJ383" s="434" t="s">
        <v>937</v>
      </c>
      <c r="BK383" s="473" t="s">
        <v>938</v>
      </c>
      <c r="BL383" s="473" t="s">
        <v>939</v>
      </c>
      <c r="BM383" s="474" t="s">
        <v>940</v>
      </c>
      <c r="BN383" s="474" t="s">
        <v>941</v>
      </c>
      <c r="BO383" s="473" t="s">
        <v>942</v>
      </c>
      <c r="BP383" s="474" t="s">
        <v>943</v>
      </c>
      <c r="BQ383" s="474" t="s">
        <v>944</v>
      </c>
      <c r="BR383" s="474" t="s">
        <v>945</v>
      </c>
      <c r="BS383" s="477" t="s">
        <v>390</v>
      </c>
      <c r="BT383" s="477" t="s">
        <v>396</v>
      </c>
      <c r="BU383" s="477" t="s">
        <v>898</v>
      </c>
      <c r="BV383" s="477" t="s">
        <v>899</v>
      </c>
      <c r="BW383" s="477" t="s">
        <v>900</v>
      </c>
      <c r="BX383" s="16"/>
    </row>
    <row r="384" spans="1:76" ht="14.25">
      <c r="A384" s="572" t="str">
        <f>C384&amp;D384</f>
        <v>Paquete 249Residencial</v>
      </c>
      <c r="B384" s="437">
        <v>1</v>
      </c>
      <c r="C384" s="255" t="s">
        <v>166</v>
      </c>
      <c r="D384" s="438" t="s">
        <v>358</v>
      </c>
      <c r="E384" s="438" t="s">
        <v>796</v>
      </c>
      <c r="F384" s="89">
        <v>210.24</v>
      </c>
      <c r="G384" s="89">
        <v>249</v>
      </c>
      <c r="H384" s="89">
        <v>1</v>
      </c>
      <c r="I384" s="89">
        <v>100</v>
      </c>
      <c r="J384" s="89"/>
      <c r="K384" s="89"/>
      <c r="L384" s="89"/>
      <c r="M384" s="89"/>
      <c r="N384" s="89"/>
      <c r="O384" s="89" t="s">
        <v>946</v>
      </c>
      <c r="P384" s="89" t="s">
        <v>947</v>
      </c>
      <c r="Q384" s="475" t="s">
        <v>797</v>
      </c>
      <c r="R384" s="89"/>
      <c r="S384" s="89"/>
      <c r="T384" s="89"/>
      <c r="U384" s="89" t="s">
        <v>797</v>
      </c>
      <c r="V384" s="89"/>
      <c r="W384" s="89"/>
      <c r="X384" s="89" t="s">
        <v>948</v>
      </c>
      <c r="Y384" s="89"/>
      <c r="Z384" s="89"/>
      <c r="AA384" s="89" t="s">
        <v>797</v>
      </c>
      <c r="AB384" s="89"/>
      <c r="AC384" s="89"/>
      <c r="AD384" s="89" t="s">
        <v>797</v>
      </c>
      <c r="AE384" s="89"/>
      <c r="AF384" s="89"/>
      <c r="AG384" s="89" t="s">
        <v>949</v>
      </c>
      <c r="AH384" s="89"/>
      <c r="AI384" s="89"/>
      <c r="AJ384" s="89"/>
      <c r="AK384" s="89"/>
      <c r="AL384" s="89"/>
      <c r="AM384" s="89"/>
      <c r="AN384" s="89"/>
      <c r="AO384" s="89"/>
      <c r="AP384" s="89"/>
      <c r="AQ384" s="89"/>
      <c r="AR384" s="89"/>
      <c r="AS384" s="89"/>
      <c r="AT384" s="89"/>
      <c r="AU384" s="89"/>
      <c r="AV384" s="89"/>
      <c r="AW384" s="89">
        <v>1.48</v>
      </c>
      <c r="AX384" s="89"/>
      <c r="AY384" s="89"/>
      <c r="AZ384" s="89"/>
      <c r="BA384" s="89" t="s">
        <v>797</v>
      </c>
      <c r="BB384" s="441"/>
      <c r="BC384" s="441" t="s">
        <v>948</v>
      </c>
      <c r="BD384" s="89" t="s">
        <v>797</v>
      </c>
      <c r="BE384" s="89" t="s">
        <v>948</v>
      </c>
      <c r="BF384" s="441">
        <v>0</v>
      </c>
      <c r="BG384" s="441">
        <v>0</v>
      </c>
      <c r="BH384" s="441">
        <v>0</v>
      </c>
      <c r="BI384" s="441">
        <v>0</v>
      </c>
      <c r="BJ384" s="441">
        <v>0</v>
      </c>
      <c r="BK384" s="441" t="s">
        <v>797</v>
      </c>
      <c r="BL384" s="89" t="s">
        <v>797</v>
      </c>
      <c r="BM384" s="441"/>
      <c r="BN384" s="441"/>
      <c r="BO384" s="89" t="s">
        <v>797</v>
      </c>
      <c r="BP384" s="441"/>
      <c r="BQ384" s="441"/>
      <c r="BR384" s="441"/>
      <c r="BS384" s="95">
        <f>LEFT(O384,FIND(" ",O384))*1</f>
        <v>15</v>
      </c>
      <c r="BT384" s="95">
        <f>LEFT(P384,FIND(" ",P384))*1</f>
        <v>0.64</v>
      </c>
      <c r="BU384" s="95">
        <f>R384</f>
        <v>0</v>
      </c>
      <c r="BV384" s="95">
        <f t="shared" ref="BV384:BW399" si="9">S384</f>
        <v>0</v>
      </c>
      <c r="BW384" s="95">
        <f t="shared" si="9"/>
        <v>0</v>
      </c>
      <c r="BX384" s="95"/>
    </row>
    <row r="385" spans="1:75" ht="14.25">
      <c r="A385" s="572" t="str">
        <f t="shared" ref="A385:A417" si="10">C385&amp;D385</f>
        <v>Paquete 289Residencial</v>
      </c>
      <c r="B385" s="437">
        <f t="shared" ref="B385:B448" si="11">1+B384</f>
        <v>2</v>
      </c>
      <c r="C385" s="255" t="s">
        <v>169</v>
      </c>
      <c r="D385" s="438" t="s">
        <v>358</v>
      </c>
      <c r="E385" s="438" t="s">
        <v>796</v>
      </c>
      <c r="F385" s="89">
        <v>244.01</v>
      </c>
      <c r="G385" s="89">
        <v>289</v>
      </c>
      <c r="H385" s="89">
        <v>1</v>
      </c>
      <c r="I385" s="89">
        <v>200</v>
      </c>
      <c r="J385" s="89"/>
      <c r="K385" s="89"/>
      <c r="L385" s="89"/>
      <c r="M385" s="89"/>
      <c r="N385" s="89"/>
      <c r="O385" s="89" t="s">
        <v>946</v>
      </c>
      <c r="P385" s="89" t="s">
        <v>947</v>
      </c>
      <c r="Q385" s="475" t="s">
        <v>797</v>
      </c>
      <c r="R385" s="89"/>
      <c r="S385" s="89"/>
      <c r="T385" s="89"/>
      <c r="U385" s="89" t="s">
        <v>797</v>
      </c>
      <c r="V385" s="89"/>
      <c r="W385" s="89"/>
      <c r="X385" s="89" t="s">
        <v>948</v>
      </c>
      <c r="Y385" s="89"/>
      <c r="Z385" s="89"/>
      <c r="AA385" s="89" t="s">
        <v>797</v>
      </c>
      <c r="AB385" s="89"/>
      <c r="AC385" s="89"/>
      <c r="AD385" s="89" t="s">
        <v>797</v>
      </c>
      <c r="AE385" s="89"/>
      <c r="AF385" s="89"/>
      <c r="AG385" s="89" t="s">
        <v>949</v>
      </c>
      <c r="AH385" s="89"/>
      <c r="AI385" s="89"/>
      <c r="AJ385" s="89"/>
      <c r="AK385" s="89"/>
      <c r="AL385" s="89"/>
      <c r="AM385" s="89"/>
      <c r="AN385" s="89"/>
      <c r="AO385" s="89"/>
      <c r="AP385" s="89"/>
      <c r="AQ385" s="89"/>
      <c r="AR385" s="89"/>
      <c r="AS385" s="89"/>
      <c r="AT385" s="89"/>
      <c r="AU385" s="89"/>
      <c r="AV385" s="89"/>
      <c r="AW385" s="89">
        <v>1.48</v>
      </c>
      <c r="AX385" s="89"/>
      <c r="AY385" s="89"/>
      <c r="AZ385" s="89"/>
      <c r="BA385" s="89" t="s">
        <v>797</v>
      </c>
      <c r="BB385" s="441"/>
      <c r="BC385" s="441" t="s">
        <v>948</v>
      </c>
      <c r="BD385" s="89" t="s">
        <v>797</v>
      </c>
      <c r="BE385" s="89" t="s">
        <v>948</v>
      </c>
      <c r="BF385" s="441">
        <v>0</v>
      </c>
      <c r="BG385" s="441">
        <v>0</v>
      </c>
      <c r="BH385" s="441">
        <v>0</v>
      </c>
      <c r="BI385" s="441">
        <v>0</v>
      </c>
      <c r="BJ385" s="441">
        <v>0</v>
      </c>
      <c r="BK385" s="441" t="s">
        <v>797</v>
      </c>
      <c r="BL385" s="89" t="s">
        <v>797</v>
      </c>
      <c r="BM385" s="441"/>
      <c r="BN385" s="441"/>
      <c r="BO385" s="89" t="s">
        <v>797</v>
      </c>
      <c r="BP385" s="441"/>
      <c r="BQ385" s="441"/>
      <c r="BR385" s="441"/>
      <c r="BS385" s="95">
        <f t="shared" ref="BS385:BT423" si="12">LEFT(O385,FIND(" ",O385))*1</f>
        <v>15</v>
      </c>
      <c r="BT385" s="95">
        <f t="shared" si="12"/>
        <v>0.64</v>
      </c>
      <c r="BU385" s="95">
        <f t="shared" ref="BU385:BW423" si="13">R385</f>
        <v>0</v>
      </c>
      <c r="BV385" s="95">
        <f t="shared" si="9"/>
        <v>0</v>
      </c>
      <c r="BW385" s="95">
        <f t="shared" si="9"/>
        <v>0</v>
      </c>
    </row>
    <row r="386" spans="1:75" ht="14.25">
      <c r="A386" s="572" t="str">
        <f t="shared" si="10"/>
        <v>Paquete 333Residencial</v>
      </c>
      <c r="B386" s="437">
        <f t="shared" si="11"/>
        <v>3</v>
      </c>
      <c r="C386" s="255" t="s">
        <v>173</v>
      </c>
      <c r="D386" s="438" t="s">
        <v>358</v>
      </c>
      <c r="E386" s="438" t="s">
        <v>796</v>
      </c>
      <c r="F386" s="89">
        <v>281.16000000000003</v>
      </c>
      <c r="G386" s="89">
        <v>333</v>
      </c>
      <c r="H386" s="89">
        <v>1</v>
      </c>
      <c r="I386" s="89" t="s">
        <v>950</v>
      </c>
      <c r="J386" s="89"/>
      <c r="K386" s="89"/>
      <c r="L386" s="89"/>
      <c r="M386" s="89"/>
      <c r="N386" s="89"/>
      <c r="O386" s="89" t="s">
        <v>946</v>
      </c>
      <c r="P386" s="89" t="s">
        <v>947</v>
      </c>
      <c r="Q386" s="475" t="s">
        <v>797</v>
      </c>
      <c r="R386" s="89"/>
      <c r="S386" s="89"/>
      <c r="T386" s="89"/>
      <c r="U386" s="89" t="s">
        <v>797</v>
      </c>
      <c r="V386" s="89"/>
      <c r="W386" s="89"/>
      <c r="X386" s="89" t="s">
        <v>948</v>
      </c>
      <c r="Y386" s="89"/>
      <c r="Z386" s="89"/>
      <c r="AA386" s="89" t="s">
        <v>797</v>
      </c>
      <c r="AB386" s="89"/>
      <c r="AC386" s="89"/>
      <c r="AD386" s="89" t="s">
        <v>797</v>
      </c>
      <c r="AE386" s="89"/>
      <c r="AF386" s="89"/>
      <c r="AG386" s="89" t="s">
        <v>949</v>
      </c>
      <c r="AH386" s="89"/>
      <c r="AI386" s="89" t="s">
        <v>951</v>
      </c>
      <c r="AJ386" s="89" t="s">
        <v>952</v>
      </c>
      <c r="AK386" s="89"/>
      <c r="AL386" s="89" t="s">
        <v>953</v>
      </c>
      <c r="AM386" s="89" t="s">
        <v>954</v>
      </c>
      <c r="AN386" s="89"/>
      <c r="AO386" s="89"/>
      <c r="AP386" s="89"/>
      <c r="AQ386" s="89"/>
      <c r="AR386" s="89"/>
      <c r="AS386" s="89"/>
      <c r="AT386" s="89"/>
      <c r="AU386" s="89" t="s">
        <v>955</v>
      </c>
      <c r="AV386" s="89"/>
      <c r="AW386" s="89"/>
      <c r="AX386" s="89"/>
      <c r="AY386" s="89"/>
      <c r="AZ386" s="89"/>
      <c r="BA386" s="89" t="s">
        <v>797</v>
      </c>
      <c r="BB386" s="441"/>
      <c r="BC386" s="441"/>
      <c r="BD386" s="89" t="s">
        <v>797</v>
      </c>
      <c r="BE386" s="89" t="s">
        <v>948</v>
      </c>
      <c r="BF386" s="441">
        <v>0</v>
      </c>
      <c r="BG386" s="441">
        <v>0</v>
      </c>
      <c r="BH386" s="441">
        <v>0</v>
      </c>
      <c r="BI386" s="441">
        <v>0</v>
      </c>
      <c r="BJ386" s="441">
        <v>0</v>
      </c>
      <c r="BK386" s="441" t="s">
        <v>797</v>
      </c>
      <c r="BL386" s="89" t="s">
        <v>797</v>
      </c>
      <c r="BM386" s="441"/>
      <c r="BN386" s="441"/>
      <c r="BO386" s="89" t="s">
        <v>797</v>
      </c>
      <c r="BP386" s="441"/>
      <c r="BQ386" s="441"/>
      <c r="BR386" s="441"/>
      <c r="BS386" s="95">
        <f t="shared" si="12"/>
        <v>15</v>
      </c>
      <c r="BT386" s="95">
        <f t="shared" si="12"/>
        <v>0.64</v>
      </c>
      <c r="BU386" s="95">
        <f t="shared" si="13"/>
        <v>0</v>
      </c>
      <c r="BV386" s="95">
        <f t="shared" si="9"/>
        <v>0</v>
      </c>
      <c r="BW386" s="95">
        <f t="shared" si="9"/>
        <v>0</v>
      </c>
    </row>
    <row r="387" spans="1:75" ht="14.25">
      <c r="A387" s="572" t="str">
        <f t="shared" si="10"/>
        <v>Paquete 389Residencial</v>
      </c>
      <c r="B387" s="437">
        <f t="shared" si="11"/>
        <v>4</v>
      </c>
      <c r="C387" s="255" t="s">
        <v>177</v>
      </c>
      <c r="D387" s="438" t="s">
        <v>358</v>
      </c>
      <c r="E387" s="438" t="s">
        <v>796</v>
      </c>
      <c r="F387" s="89">
        <v>328.44</v>
      </c>
      <c r="G387" s="89">
        <v>389</v>
      </c>
      <c r="H387" s="89">
        <v>1</v>
      </c>
      <c r="I387" s="89" t="s">
        <v>950</v>
      </c>
      <c r="J387" s="89" t="s">
        <v>956</v>
      </c>
      <c r="K387" s="89" t="s">
        <v>956</v>
      </c>
      <c r="L387" s="89" t="s">
        <v>956</v>
      </c>
      <c r="M387" s="89">
        <v>5</v>
      </c>
      <c r="N387" s="89" t="s">
        <v>957</v>
      </c>
      <c r="O387" s="89" t="s">
        <v>981</v>
      </c>
      <c r="P387" s="89" t="s">
        <v>983</v>
      </c>
      <c r="Q387" s="475" t="s">
        <v>960</v>
      </c>
      <c r="R387" s="89">
        <v>6</v>
      </c>
      <c r="S387" s="89">
        <v>60</v>
      </c>
      <c r="T387" s="89">
        <v>60</v>
      </c>
      <c r="U387" s="89" t="s">
        <v>797</v>
      </c>
      <c r="V387" s="89"/>
      <c r="W387" s="89"/>
      <c r="X387" s="89" t="s">
        <v>948</v>
      </c>
      <c r="Y387" s="89"/>
      <c r="Z387" s="89"/>
      <c r="AA387" s="89" t="s">
        <v>961</v>
      </c>
      <c r="AB387" s="89" t="s">
        <v>962</v>
      </c>
      <c r="AC387" s="89" t="s">
        <v>963</v>
      </c>
      <c r="AD387" s="89" t="s">
        <v>797</v>
      </c>
      <c r="AE387" s="89"/>
      <c r="AF387" s="89"/>
      <c r="AG387" s="89" t="s">
        <v>949</v>
      </c>
      <c r="AH387" s="89"/>
      <c r="AI387" s="89" t="s">
        <v>951</v>
      </c>
      <c r="AJ387" s="89" t="s">
        <v>952</v>
      </c>
      <c r="AK387" s="89"/>
      <c r="AL387" s="89" t="s">
        <v>953</v>
      </c>
      <c r="AM387" s="89" t="s">
        <v>954</v>
      </c>
      <c r="AN387" s="89"/>
      <c r="AO387" s="89"/>
      <c r="AP387" s="89"/>
      <c r="AQ387" s="89"/>
      <c r="AR387" s="89"/>
      <c r="AS387" s="89"/>
      <c r="AT387" s="89"/>
      <c r="AU387" s="89" t="s">
        <v>955</v>
      </c>
      <c r="AV387" s="89"/>
      <c r="AW387" s="89"/>
      <c r="AX387" s="89"/>
      <c r="AY387" s="89"/>
      <c r="AZ387" s="89"/>
      <c r="BA387" s="89" t="s">
        <v>797</v>
      </c>
      <c r="BB387" s="441"/>
      <c r="BC387" s="441"/>
      <c r="BD387" s="89" t="s">
        <v>797</v>
      </c>
      <c r="BE387" s="89" t="s">
        <v>948</v>
      </c>
      <c r="BF387" s="441">
        <v>0</v>
      </c>
      <c r="BG387" s="441">
        <v>0</v>
      </c>
      <c r="BH387" s="441">
        <v>0</v>
      </c>
      <c r="BI387" s="441">
        <v>0</v>
      </c>
      <c r="BJ387" s="441">
        <v>0</v>
      </c>
      <c r="BK387" s="441" t="s">
        <v>797</v>
      </c>
      <c r="BL387" s="89" t="s">
        <v>797</v>
      </c>
      <c r="BM387" s="441"/>
      <c r="BN387" s="441"/>
      <c r="BO387" s="89" t="s">
        <v>960</v>
      </c>
      <c r="BP387" s="441" t="s">
        <v>964</v>
      </c>
      <c r="BQ387" s="441" t="s">
        <v>965</v>
      </c>
      <c r="BR387" s="441" t="s">
        <v>966</v>
      </c>
      <c r="BS387" s="95">
        <f t="shared" si="12"/>
        <v>60</v>
      </c>
      <c r="BT387" s="95">
        <f t="shared" si="12"/>
        <v>10</v>
      </c>
      <c r="BU387" s="95">
        <f t="shared" si="13"/>
        <v>6</v>
      </c>
      <c r="BV387" s="95">
        <f t="shared" si="9"/>
        <v>60</v>
      </c>
      <c r="BW387" s="95">
        <f t="shared" si="9"/>
        <v>60</v>
      </c>
    </row>
    <row r="388" spans="1:75" ht="14.25" collapsed="1">
      <c r="A388" s="572" t="str">
        <f t="shared" si="10"/>
        <v>Paquete 435Residencial</v>
      </c>
      <c r="B388" s="437">
        <f t="shared" si="11"/>
        <v>5</v>
      </c>
      <c r="C388" s="255" t="s">
        <v>180</v>
      </c>
      <c r="D388" s="438" t="s">
        <v>358</v>
      </c>
      <c r="E388" s="438" t="s">
        <v>796</v>
      </c>
      <c r="F388" s="89">
        <v>367.29</v>
      </c>
      <c r="G388" s="89">
        <v>435</v>
      </c>
      <c r="H388" s="89">
        <v>1</v>
      </c>
      <c r="I388" s="89" t="s">
        <v>950</v>
      </c>
      <c r="J388" s="89" t="s">
        <v>956</v>
      </c>
      <c r="K388" s="89" t="s">
        <v>956</v>
      </c>
      <c r="L388" s="89" t="s">
        <v>956</v>
      </c>
      <c r="M388" s="89">
        <v>5</v>
      </c>
      <c r="N388" s="89" t="s">
        <v>957</v>
      </c>
      <c r="O388" s="89" t="s">
        <v>1009</v>
      </c>
      <c r="P388" s="89" t="s">
        <v>958</v>
      </c>
      <c r="Q388" s="475" t="s">
        <v>960</v>
      </c>
      <c r="R388" s="89">
        <v>6</v>
      </c>
      <c r="S388" s="89">
        <v>80</v>
      </c>
      <c r="T388" s="89">
        <v>80</v>
      </c>
      <c r="U388" s="89" t="s">
        <v>797</v>
      </c>
      <c r="V388" s="89"/>
      <c r="W388" s="89"/>
      <c r="X388" s="89" t="s">
        <v>948</v>
      </c>
      <c r="Y388" s="89"/>
      <c r="Z388" s="89"/>
      <c r="AA388" s="89" t="s">
        <v>961</v>
      </c>
      <c r="AB388" s="89" t="s">
        <v>962</v>
      </c>
      <c r="AC388" s="89" t="s">
        <v>963</v>
      </c>
      <c r="AD388" s="89" t="s">
        <v>797</v>
      </c>
      <c r="AE388" s="89"/>
      <c r="AF388" s="89"/>
      <c r="AG388" s="89" t="s">
        <v>949</v>
      </c>
      <c r="AH388" s="89"/>
      <c r="AI388" s="89" t="s">
        <v>951</v>
      </c>
      <c r="AJ388" s="89" t="s">
        <v>952</v>
      </c>
      <c r="AK388" s="89"/>
      <c r="AL388" s="89" t="s">
        <v>953</v>
      </c>
      <c r="AM388" s="89" t="s">
        <v>954</v>
      </c>
      <c r="AN388" s="89"/>
      <c r="AO388" s="89"/>
      <c r="AP388" s="89"/>
      <c r="AQ388" s="89"/>
      <c r="AR388" s="89"/>
      <c r="AS388" s="89"/>
      <c r="AT388" s="89"/>
      <c r="AU388" s="89" t="s">
        <v>955</v>
      </c>
      <c r="AV388" s="89"/>
      <c r="AW388" s="89"/>
      <c r="AX388" s="89"/>
      <c r="AY388" s="89"/>
      <c r="AZ388" s="89"/>
      <c r="BA388" s="89" t="s">
        <v>797</v>
      </c>
      <c r="BB388" s="441"/>
      <c r="BC388" s="441"/>
      <c r="BD388" s="89" t="s">
        <v>797</v>
      </c>
      <c r="BE388" s="89" t="s">
        <v>948</v>
      </c>
      <c r="BF388" s="441">
        <v>0</v>
      </c>
      <c r="BG388" s="441">
        <v>0</v>
      </c>
      <c r="BH388" s="441">
        <v>0</v>
      </c>
      <c r="BI388" s="441">
        <v>0</v>
      </c>
      <c r="BJ388" s="441">
        <v>0</v>
      </c>
      <c r="BK388" s="441" t="s">
        <v>797</v>
      </c>
      <c r="BL388" s="89" t="s">
        <v>960</v>
      </c>
      <c r="BM388" s="441" t="s">
        <v>965</v>
      </c>
      <c r="BN388" s="441" t="s">
        <v>968</v>
      </c>
      <c r="BO388" s="89" t="s">
        <v>960</v>
      </c>
      <c r="BP388" s="441" t="s">
        <v>969</v>
      </c>
      <c r="BQ388" s="441" t="s">
        <v>970</v>
      </c>
      <c r="BR388" s="441" t="s">
        <v>971</v>
      </c>
      <c r="BS388" s="95">
        <f t="shared" si="12"/>
        <v>80</v>
      </c>
      <c r="BT388" s="95">
        <f t="shared" si="12"/>
        <v>20</v>
      </c>
      <c r="BU388" s="95">
        <f t="shared" si="13"/>
        <v>6</v>
      </c>
      <c r="BV388" s="95">
        <f t="shared" si="9"/>
        <v>80</v>
      </c>
      <c r="BW388" s="95">
        <f t="shared" si="9"/>
        <v>80</v>
      </c>
    </row>
    <row r="389" spans="1:75" ht="14.25">
      <c r="A389" s="572" t="str">
        <f t="shared" si="10"/>
        <v>Paquete 499Residencial</v>
      </c>
      <c r="B389" s="437">
        <f t="shared" si="11"/>
        <v>6</v>
      </c>
      <c r="C389" s="255" t="s">
        <v>182</v>
      </c>
      <c r="D389" s="438" t="s">
        <v>358</v>
      </c>
      <c r="E389" s="438" t="s">
        <v>796</v>
      </c>
      <c r="F389" s="89">
        <v>421.32</v>
      </c>
      <c r="G389" s="89">
        <v>499</v>
      </c>
      <c r="H389" s="89">
        <v>1</v>
      </c>
      <c r="I389" s="89" t="s">
        <v>950</v>
      </c>
      <c r="J389" s="89" t="s">
        <v>956</v>
      </c>
      <c r="K389" s="89" t="s">
        <v>956</v>
      </c>
      <c r="L389" s="89" t="s">
        <v>956</v>
      </c>
      <c r="M389" s="89">
        <v>5</v>
      </c>
      <c r="N389" s="89" t="s">
        <v>957</v>
      </c>
      <c r="O389" s="89" t="s">
        <v>982</v>
      </c>
      <c r="P389" s="89" t="s">
        <v>983</v>
      </c>
      <c r="Q389" s="475" t="s">
        <v>960</v>
      </c>
      <c r="R389" s="89">
        <v>6</v>
      </c>
      <c r="S389" s="89">
        <v>150</v>
      </c>
      <c r="T389" s="89">
        <v>150</v>
      </c>
      <c r="U389" s="89" t="s">
        <v>797</v>
      </c>
      <c r="V389" s="89"/>
      <c r="W389" s="89"/>
      <c r="X389" s="89" t="s">
        <v>948</v>
      </c>
      <c r="Y389" s="89"/>
      <c r="Z389" s="89"/>
      <c r="AA389" s="89" t="s">
        <v>961</v>
      </c>
      <c r="AB389" s="89" t="s">
        <v>962</v>
      </c>
      <c r="AC389" s="89" t="s">
        <v>963</v>
      </c>
      <c r="AD389" s="89" t="s">
        <v>797</v>
      </c>
      <c r="AE389" s="89"/>
      <c r="AF389" s="89"/>
      <c r="AG389" s="89" t="s">
        <v>949</v>
      </c>
      <c r="AH389" s="89"/>
      <c r="AI389" s="89" t="s">
        <v>951</v>
      </c>
      <c r="AJ389" s="89" t="s">
        <v>952</v>
      </c>
      <c r="AK389" s="89"/>
      <c r="AL389" s="89" t="s">
        <v>953</v>
      </c>
      <c r="AM389" s="89" t="s">
        <v>954</v>
      </c>
      <c r="AN389" s="89"/>
      <c r="AO389" s="89"/>
      <c r="AP389" s="89"/>
      <c r="AQ389" s="89"/>
      <c r="AR389" s="89"/>
      <c r="AS389" s="89"/>
      <c r="AT389" s="89"/>
      <c r="AU389" s="89" t="s">
        <v>955</v>
      </c>
      <c r="AV389" s="89"/>
      <c r="AW389" s="89"/>
      <c r="AX389" s="89"/>
      <c r="AY389" s="89"/>
      <c r="AZ389" s="89"/>
      <c r="BA389" s="89" t="s">
        <v>797</v>
      </c>
      <c r="BB389" s="441"/>
      <c r="BC389" s="441"/>
      <c r="BD389" s="89" t="s">
        <v>797</v>
      </c>
      <c r="BE389" s="89" t="s">
        <v>948</v>
      </c>
      <c r="BF389" s="441">
        <v>0</v>
      </c>
      <c r="BG389" s="441">
        <v>0</v>
      </c>
      <c r="BH389" s="441">
        <v>0</v>
      </c>
      <c r="BI389" s="441">
        <v>0</v>
      </c>
      <c r="BJ389" s="441">
        <v>0</v>
      </c>
      <c r="BK389" s="441" t="s">
        <v>797</v>
      </c>
      <c r="BL389" s="89" t="s">
        <v>960</v>
      </c>
      <c r="BM389" s="441" t="s">
        <v>965</v>
      </c>
      <c r="BN389" s="441" t="s">
        <v>973</v>
      </c>
      <c r="BO389" s="89" t="s">
        <v>961</v>
      </c>
      <c r="BP389" s="441" t="s">
        <v>964</v>
      </c>
      <c r="BQ389" s="441" t="s">
        <v>965</v>
      </c>
      <c r="BR389" s="441" t="s">
        <v>966</v>
      </c>
      <c r="BS389" s="95">
        <f t="shared" si="12"/>
        <v>100</v>
      </c>
      <c r="BT389" s="95">
        <f t="shared" si="12"/>
        <v>10</v>
      </c>
      <c r="BU389" s="95">
        <f t="shared" si="13"/>
        <v>6</v>
      </c>
      <c r="BV389" s="95">
        <f t="shared" si="9"/>
        <v>150</v>
      </c>
      <c r="BW389" s="95">
        <f t="shared" si="9"/>
        <v>150</v>
      </c>
    </row>
    <row r="390" spans="1:75" ht="14.25">
      <c r="A390" s="572" t="str">
        <f t="shared" si="10"/>
        <v>Paquete 599Residencial</v>
      </c>
      <c r="B390" s="437">
        <f t="shared" si="11"/>
        <v>7</v>
      </c>
      <c r="C390" s="255" t="s">
        <v>184</v>
      </c>
      <c r="D390" s="438" t="s">
        <v>358</v>
      </c>
      <c r="E390" s="438" t="s">
        <v>796</v>
      </c>
      <c r="F390" s="89">
        <v>505.76</v>
      </c>
      <c r="G390" s="89">
        <v>599.00191359999997</v>
      </c>
      <c r="H390" s="89">
        <v>2</v>
      </c>
      <c r="I390" s="89" t="s">
        <v>950</v>
      </c>
      <c r="J390" s="89" t="s">
        <v>956</v>
      </c>
      <c r="K390" s="89" t="s">
        <v>956</v>
      </c>
      <c r="L390" s="89" t="s">
        <v>956</v>
      </c>
      <c r="M390" s="89">
        <v>5</v>
      </c>
      <c r="N390" s="89" t="s">
        <v>957</v>
      </c>
      <c r="O390" s="89" t="s">
        <v>976</v>
      </c>
      <c r="P390" s="89" t="s">
        <v>977</v>
      </c>
      <c r="Q390" s="475" t="s">
        <v>960</v>
      </c>
      <c r="R390" s="89">
        <v>6</v>
      </c>
      <c r="S390" s="89">
        <v>250</v>
      </c>
      <c r="T390" s="89">
        <v>250</v>
      </c>
      <c r="U390" s="89" t="s">
        <v>797</v>
      </c>
      <c r="V390" s="89"/>
      <c r="W390" s="89"/>
      <c r="X390" s="89" t="s">
        <v>948</v>
      </c>
      <c r="Y390" s="89"/>
      <c r="Z390" s="89"/>
      <c r="AA390" s="89" t="s">
        <v>961</v>
      </c>
      <c r="AB390" s="89" t="s">
        <v>962</v>
      </c>
      <c r="AC390" s="89" t="s">
        <v>963</v>
      </c>
      <c r="AD390" s="89" t="s">
        <v>797</v>
      </c>
      <c r="AE390" s="89"/>
      <c r="AF390" s="89"/>
      <c r="AG390" s="89" t="s">
        <v>949</v>
      </c>
      <c r="AH390" s="89"/>
      <c r="AI390" s="89" t="s">
        <v>951</v>
      </c>
      <c r="AJ390" s="89" t="s">
        <v>952</v>
      </c>
      <c r="AK390" s="89"/>
      <c r="AL390" s="89" t="s">
        <v>953</v>
      </c>
      <c r="AM390" s="89" t="s">
        <v>954</v>
      </c>
      <c r="AN390" s="89"/>
      <c r="AO390" s="89"/>
      <c r="AP390" s="89"/>
      <c r="AQ390" s="89"/>
      <c r="AR390" s="89"/>
      <c r="AS390" s="89"/>
      <c r="AT390" s="89"/>
      <c r="AU390" s="89" t="s">
        <v>955</v>
      </c>
      <c r="AV390" s="89"/>
      <c r="AW390" s="89"/>
      <c r="AX390" s="89"/>
      <c r="AY390" s="89"/>
      <c r="AZ390" s="89"/>
      <c r="BA390" s="89" t="s">
        <v>797</v>
      </c>
      <c r="BB390" s="441"/>
      <c r="BC390" s="441"/>
      <c r="BD390" s="89" t="s">
        <v>797</v>
      </c>
      <c r="BE390" s="89" t="s">
        <v>948</v>
      </c>
      <c r="BF390" s="441">
        <v>0</v>
      </c>
      <c r="BG390" s="441">
        <v>0</v>
      </c>
      <c r="BH390" s="441">
        <v>0</v>
      </c>
      <c r="BI390" s="441">
        <v>0</v>
      </c>
      <c r="BJ390" s="441">
        <v>0</v>
      </c>
      <c r="BK390" s="441" t="s">
        <v>797</v>
      </c>
      <c r="BL390" s="89" t="s">
        <v>960</v>
      </c>
      <c r="BM390" s="441" t="s">
        <v>965</v>
      </c>
      <c r="BN390" s="441" t="s">
        <v>975</v>
      </c>
      <c r="BO390" s="89" t="s">
        <v>797</v>
      </c>
      <c r="BP390" s="441"/>
      <c r="BQ390" s="441"/>
      <c r="BR390" s="441"/>
      <c r="BS390" s="95">
        <f t="shared" si="12"/>
        <v>200</v>
      </c>
      <c r="BT390" s="95">
        <f t="shared" si="12"/>
        <v>50</v>
      </c>
      <c r="BU390" s="95">
        <f t="shared" si="13"/>
        <v>6</v>
      </c>
      <c r="BV390" s="95">
        <f t="shared" si="9"/>
        <v>250</v>
      </c>
      <c r="BW390" s="95">
        <f t="shared" si="9"/>
        <v>250</v>
      </c>
    </row>
    <row r="391" spans="1:75" ht="14.25">
      <c r="A391" s="572" t="str">
        <f t="shared" si="10"/>
        <v>Paquete 649Residencial</v>
      </c>
      <c r="B391" s="437">
        <f t="shared" si="11"/>
        <v>8</v>
      </c>
      <c r="C391" s="255" t="s">
        <v>187</v>
      </c>
      <c r="D391" s="438" t="s">
        <v>358</v>
      </c>
      <c r="E391" s="438" t="s">
        <v>796</v>
      </c>
      <c r="F391" s="89">
        <v>547.98</v>
      </c>
      <c r="G391" s="89">
        <v>649</v>
      </c>
      <c r="H391" s="89">
        <v>2</v>
      </c>
      <c r="I391" s="89" t="s">
        <v>950</v>
      </c>
      <c r="J391" s="89" t="s">
        <v>956</v>
      </c>
      <c r="K391" s="89" t="s">
        <v>956</v>
      </c>
      <c r="L391" s="89" t="s">
        <v>956</v>
      </c>
      <c r="M391" s="89">
        <v>5</v>
      </c>
      <c r="N391" s="89" t="s">
        <v>957</v>
      </c>
      <c r="O391" s="89" t="s">
        <v>1010</v>
      </c>
      <c r="P391" s="89" t="s">
        <v>977</v>
      </c>
      <c r="Q391" s="475" t="s">
        <v>960</v>
      </c>
      <c r="R391" s="89">
        <v>6</v>
      </c>
      <c r="S391" s="89">
        <v>350</v>
      </c>
      <c r="T391" s="89">
        <v>350</v>
      </c>
      <c r="U391" s="89" t="s">
        <v>797</v>
      </c>
      <c r="V391" s="89"/>
      <c r="W391" s="89"/>
      <c r="X391" s="89" t="s">
        <v>948</v>
      </c>
      <c r="Y391" s="89"/>
      <c r="Z391" s="89"/>
      <c r="AA391" s="89" t="s">
        <v>961</v>
      </c>
      <c r="AB391" s="89" t="s">
        <v>962</v>
      </c>
      <c r="AC391" s="89" t="s">
        <v>963</v>
      </c>
      <c r="AD391" s="89" t="s">
        <v>797</v>
      </c>
      <c r="AE391" s="89"/>
      <c r="AF391" s="89"/>
      <c r="AG391" s="89" t="s">
        <v>949</v>
      </c>
      <c r="AH391" s="89"/>
      <c r="AI391" s="89" t="s">
        <v>951</v>
      </c>
      <c r="AJ391" s="89" t="s">
        <v>952</v>
      </c>
      <c r="AK391" s="89"/>
      <c r="AL391" s="89" t="s">
        <v>953</v>
      </c>
      <c r="AM391" s="89" t="s">
        <v>954</v>
      </c>
      <c r="AN391" s="89"/>
      <c r="AO391" s="89"/>
      <c r="AP391" s="89"/>
      <c r="AQ391" s="89"/>
      <c r="AR391" s="89"/>
      <c r="AS391" s="89"/>
      <c r="AT391" s="89"/>
      <c r="AU391" s="89" t="s">
        <v>955</v>
      </c>
      <c r="AV391" s="89"/>
      <c r="AW391" s="89"/>
      <c r="AX391" s="89"/>
      <c r="AY391" s="89"/>
      <c r="AZ391" s="89"/>
      <c r="BA391" s="89" t="s">
        <v>797</v>
      </c>
      <c r="BB391" s="441"/>
      <c r="BC391" s="441"/>
      <c r="BD391" s="89" t="s">
        <v>797</v>
      </c>
      <c r="BE391" s="89" t="s">
        <v>948</v>
      </c>
      <c r="BF391" s="441">
        <v>0</v>
      </c>
      <c r="BG391" s="441">
        <v>0</v>
      </c>
      <c r="BH391" s="441">
        <v>0</v>
      </c>
      <c r="BI391" s="441">
        <v>0</v>
      </c>
      <c r="BJ391" s="441">
        <v>0</v>
      </c>
      <c r="BK391" s="441" t="s">
        <v>797</v>
      </c>
      <c r="BL391" s="89" t="s">
        <v>797</v>
      </c>
      <c r="BM391" s="441"/>
      <c r="BN391" s="441"/>
      <c r="BO391" s="89" t="s">
        <v>797</v>
      </c>
      <c r="BP391" s="441"/>
      <c r="BQ391" s="441"/>
      <c r="BR391" s="441"/>
      <c r="BS391" s="95">
        <f t="shared" si="12"/>
        <v>300</v>
      </c>
      <c r="BT391" s="95">
        <f t="shared" si="12"/>
        <v>50</v>
      </c>
      <c r="BU391" s="95">
        <f t="shared" si="13"/>
        <v>6</v>
      </c>
      <c r="BV391" s="95">
        <f t="shared" si="9"/>
        <v>350</v>
      </c>
      <c r="BW391" s="95">
        <f t="shared" si="9"/>
        <v>350</v>
      </c>
    </row>
    <row r="392" spans="1:75" ht="14.25">
      <c r="A392" s="572" t="str">
        <f t="shared" si="10"/>
        <v>Paquete Infinitum 999Residencial</v>
      </c>
      <c r="B392" s="437">
        <f t="shared" si="11"/>
        <v>9</v>
      </c>
      <c r="C392" s="255" t="s">
        <v>189</v>
      </c>
      <c r="D392" s="438" t="s">
        <v>358</v>
      </c>
      <c r="E392" s="438" t="s">
        <v>796</v>
      </c>
      <c r="F392" s="89">
        <v>843.5</v>
      </c>
      <c r="G392" s="89">
        <v>999</v>
      </c>
      <c r="H392" s="89">
        <v>3</v>
      </c>
      <c r="I392" s="89" t="s">
        <v>950</v>
      </c>
      <c r="J392" s="89" t="s">
        <v>950</v>
      </c>
      <c r="K392" s="89" t="s">
        <v>956</v>
      </c>
      <c r="L392" s="89" t="s">
        <v>956</v>
      </c>
      <c r="M392" s="89">
        <v>5</v>
      </c>
      <c r="N392" s="89" t="s">
        <v>957</v>
      </c>
      <c r="O392" s="89" t="s">
        <v>994</v>
      </c>
      <c r="P392" s="89" t="s">
        <v>1010</v>
      </c>
      <c r="Q392" s="475" t="s">
        <v>797</v>
      </c>
      <c r="R392" s="89"/>
      <c r="S392" s="89"/>
      <c r="T392" s="89"/>
      <c r="U392" s="89" t="s">
        <v>797</v>
      </c>
      <c r="V392" s="89"/>
      <c r="W392" s="89"/>
      <c r="X392" s="89" t="s">
        <v>948</v>
      </c>
      <c r="Y392" s="89"/>
      <c r="Z392" s="89"/>
      <c r="AA392" s="89" t="s">
        <v>961</v>
      </c>
      <c r="AB392" s="89" t="s">
        <v>962</v>
      </c>
      <c r="AC392" s="89" t="s">
        <v>963</v>
      </c>
      <c r="AD392" s="89" t="s">
        <v>797</v>
      </c>
      <c r="AE392" s="89"/>
      <c r="AF392" s="89"/>
      <c r="AG392" s="89" t="s">
        <v>949</v>
      </c>
      <c r="AH392" s="89"/>
      <c r="AI392" s="89" t="s">
        <v>951</v>
      </c>
      <c r="AJ392" s="89" t="s">
        <v>952</v>
      </c>
      <c r="AK392" s="89"/>
      <c r="AL392" s="89" t="s">
        <v>953</v>
      </c>
      <c r="AM392" s="89" t="s">
        <v>954</v>
      </c>
      <c r="AN392" s="89"/>
      <c r="AO392" s="89"/>
      <c r="AP392" s="89"/>
      <c r="AQ392" s="89"/>
      <c r="AR392" s="89"/>
      <c r="AS392" s="89"/>
      <c r="AT392" s="89"/>
      <c r="AU392" s="89" t="s">
        <v>955</v>
      </c>
      <c r="AV392" s="89"/>
      <c r="AW392" s="89"/>
      <c r="AX392" s="89"/>
      <c r="AY392" s="89"/>
      <c r="AZ392" s="89"/>
      <c r="BA392" s="89" t="s">
        <v>797</v>
      </c>
      <c r="BB392" s="441"/>
      <c r="BC392" s="441"/>
      <c r="BD392" s="89" t="s">
        <v>797</v>
      </c>
      <c r="BE392" s="89" t="s">
        <v>948</v>
      </c>
      <c r="BF392" s="441">
        <v>0</v>
      </c>
      <c r="BG392" s="441">
        <v>0</v>
      </c>
      <c r="BH392" s="441">
        <v>0</v>
      </c>
      <c r="BI392" s="441">
        <v>0</v>
      </c>
      <c r="BJ392" s="441">
        <v>0</v>
      </c>
      <c r="BK392" s="441" t="s">
        <v>797</v>
      </c>
      <c r="BL392" s="89" t="s">
        <v>797</v>
      </c>
      <c r="BM392" s="441"/>
      <c r="BN392" s="441"/>
      <c r="BO392" s="89" t="s">
        <v>797</v>
      </c>
      <c r="BP392" s="441"/>
      <c r="BQ392" s="441"/>
      <c r="BR392" s="441"/>
      <c r="BS392" s="95">
        <f t="shared" si="12"/>
        <v>750</v>
      </c>
      <c r="BT392" s="95">
        <f t="shared" si="12"/>
        <v>300</v>
      </c>
      <c r="BU392" s="95">
        <f t="shared" si="13"/>
        <v>0</v>
      </c>
      <c r="BV392" s="95">
        <f t="shared" si="9"/>
        <v>0</v>
      </c>
      <c r="BW392" s="95">
        <f t="shared" si="9"/>
        <v>0</v>
      </c>
    </row>
    <row r="393" spans="1:75" ht="14.65" customHeight="1">
      <c r="A393" s="572" t="str">
        <f t="shared" si="10"/>
        <v>Paquete 1399Residencial</v>
      </c>
      <c r="B393" s="437">
        <f t="shared" si="11"/>
        <v>10</v>
      </c>
      <c r="C393" s="255" t="s">
        <v>191</v>
      </c>
      <c r="D393" s="438" t="s">
        <v>358</v>
      </c>
      <c r="E393" s="438" t="s">
        <v>796</v>
      </c>
      <c r="F393" s="89">
        <v>1181.23</v>
      </c>
      <c r="G393" s="89">
        <v>1399</v>
      </c>
      <c r="H393" s="89">
        <v>6</v>
      </c>
      <c r="I393" s="89" t="s">
        <v>950</v>
      </c>
      <c r="J393" s="89" t="s">
        <v>956</v>
      </c>
      <c r="K393" s="89" t="s">
        <v>956</v>
      </c>
      <c r="L393" s="89" t="s">
        <v>956</v>
      </c>
      <c r="M393" s="89">
        <v>5</v>
      </c>
      <c r="N393" s="89" t="s">
        <v>957</v>
      </c>
      <c r="O393" s="89" t="s">
        <v>979</v>
      </c>
      <c r="P393" s="89" t="s">
        <v>1010</v>
      </c>
      <c r="Q393" s="475" t="s">
        <v>797</v>
      </c>
      <c r="R393" s="89"/>
      <c r="S393" s="89"/>
      <c r="T393" s="89"/>
      <c r="U393" s="89" t="s">
        <v>797</v>
      </c>
      <c r="V393" s="89"/>
      <c r="W393" s="89"/>
      <c r="X393" s="89" t="s">
        <v>948</v>
      </c>
      <c r="Y393" s="89"/>
      <c r="Z393" s="89"/>
      <c r="AA393" s="89" t="s">
        <v>961</v>
      </c>
      <c r="AB393" s="89" t="s">
        <v>962</v>
      </c>
      <c r="AC393" s="89" t="s">
        <v>963</v>
      </c>
      <c r="AD393" s="89" t="s">
        <v>797</v>
      </c>
      <c r="AE393" s="89"/>
      <c r="AF393" s="89"/>
      <c r="AG393" s="89" t="s">
        <v>949</v>
      </c>
      <c r="AH393" s="89"/>
      <c r="AI393" s="89" t="s">
        <v>951</v>
      </c>
      <c r="AJ393" s="89" t="s">
        <v>952</v>
      </c>
      <c r="AK393" s="89"/>
      <c r="AL393" s="89" t="s">
        <v>953</v>
      </c>
      <c r="AM393" s="89" t="s">
        <v>954</v>
      </c>
      <c r="AN393" s="89"/>
      <c r="AO393" s="89"/>
      <c r="AP393" s="89"/>
      <c r="AQ393" s="89"/>
      <c r="AR393" s="89"/>
      <c r="AS393" s="89"/>
      <c r="AT393" s="89"/>
      <c r="AU393" s="89" t="s">
        <v>955</v>
      </c>
      <c r="AV393" s="89"/>
      <c r="AW393" s="89"/>
      <c r="AX393" s="89"/>
      <c r="AY393" s="89"/>
      <c r="AZ393" s="89"/>
      <c r="BA393" s="89" t="s">
        <v>797</v>
      </c>
      <c r="BB393" s="441"/>
      <c r="BC393" s="441"/>
      <c r="BD393" s="89" t="s">
        <v>797</v>
      </c>
      <c r="BE393" s="89" t="s">
        <v>948</v>
      </c>
      <c r="BF393" s="441">
        <v>0</v>
      </c>
      <c r="BG393" s="441">
        <v>0</v>
      </c>
      <c r="BH393" s="441">
        <v>0</v>
      </c>
      <c r="BI393" s="441">
        <v>0</v>
      </c>
      <c r="BJ393" s="441">
        <v>0</v>
      </c>
      <c r="BK393" s="441" t="s">
        <v>797</v>
      </c>
      <c r="BL393" s="89" t="s">
        <v>797</v>
      </c>
      <c r="BM393" s="441"/>
      <c r="BN393" s="441"/>
      <c r="BO393" s="89" t="s">
        <v>797</v>
      </c>
      <c r="BP393" s="441"/>
      <c r="BQ393" s="441"/>
      <c r="BR393" s="441"/>
      <c r="BS393" s="95">
        <f t="shared" si="12"/>
        <v>1000</v>
      </c>
      <c r="BT393" s="95">
        <f t="shared" si="12"/>
        <v>300</v>
      </c>
      <c r="BU393" s="95">
        <f t="shared" si="13"/>
        <v>0</v>
      </c>
      <c r="BV393" s="95">
        <f t="shared" si="9"/>
        <v>0</v>
      </c>
      <c r="BW393" s="95">
        <f t="shared" si="9"/>
        <v>0</v>
      </c>
    </row>
    <row r="394" spans="1:75" ht="14.65" customHeight="1">
      <c r="A394" s="572" t="str">
        <f t="shared" si="10"/>
        <v>Infinitum 279Residencial</v>
      </c>
      <c r="B394" s="437">
        <f t="shared" si="11"/>
        <v>11</v>
      </c>
      <c r="C394" s="255" t="s">
        <v>167</v>
      </c>
      <c r="D394" s="438" t="s">
        <v>358</v>
      </c>
      <c r="E394" s="438" t="s">
        <v>798</v>
      </c>
      <c r="F394" s="89">
        <v>240.52</v>
      </c>
      <c r="G394" s="89">
        <v>279</v>
      </c>
      <c r="H394" s="89"/>
      <c r="I394" s="89"/>
      <c r="J394" s="89"/>
      <c r="K394" s="89"/>
      <c r="L394" s="89"/>
      <c r="M394" s="89"/>
      <c r="N394" s="89"/>
      <c r="O394" s="89" t="s">
        <v>967</v>
      </c>
      <c r="P394" s="89" t="s">
        <v>980</v>
      </c>
      <c r="Q394" s="475" t="s">
        <v>797</v>
      </c>
      <c r="R394" s="89"/>
      <c r="S394" s="89"/>
      <c r="T394" s="89"/>
      <c r="U394" s="89" t="s">
        <v>797</v>
      </c>
      <c r="V394" s="89"/>
      <c r="W394" s="89"/>
      <c r="X394" s="89" t="s">
        <v>948</v>
      </c>
      <c r="Y394" s="89"/>
      <c r="Z394" s="89"/>
      <c r="AA394" s="89" t="s">
        <v>797</v>
      </c>
      <c r="AB394" s="89"/>
      <c r="AC394" s="89"/>
      <c r="AD394" s="89" t="s">
        <v>797</v>
      </c>
      <c r="AE394" s="89"/>
      <c r="AF394" s="89"/>
      <c r="AG394" s="89" t="s">
        <v>949</v>
      </c>
      <c r="AH394" s="89"/>
      <c r="AI394" s="89"/>
      <c r="AJ394" s="89"/>
      <c r="AK394" s="89"/>
      <c r="AL394" s="89"/>
      <c r="AM394" s="89"/>
      <c r="AN394" s="89"/>
      <c r="AO394" s="89"/>
      <c r="AP394" s="89"/>
      <c r="AQ394" s="89"/>
      <c r="AR394" s="89"/>
      <c r="AS394" s="89"/>
      <c r="AT394" s="89"/>
      <c r="AU394" s="89"/>
      <c r="AV394" s="89"/>
      <c r="AW394" s="89"/>
      <c r="AX394" s="89"/>
      <c r="AY394" s="89"/>
      <c r="AZ394" s="89"/>
      <c r="BA394" s="89" t="s">
        <v>797</v>
      </c>
      <c r="BB394" s="441"/>
      <c r="BC394" s="441"/>
      <c r="BD394" s="89" t="s">
        <v>797</v>
      </c>
      <c r="BE394" s="89" t="s">
        <v>948</v>
      </c>
      <c r="BF394" s="441">
        <v>0</v>
      </c>
      <c r="BG394" s="441">
        <v>0</v>
      </c>
      <c r="BH394" s="441">
        <v>0</v>
      </c>
      <c r="BI394" s="441">
        <v>0</v>
      </c>
      <c r="BJ394" s="441">
        <v>0</v>
      </c>
      <c r="BK394" s="441" t="s">
        <v>797</v>
      </c>
      <c r="BL394" s="89" t="s">
        <v>797</v>
      </c>
      <c r="BM394" s="441"/>
      <c r="BN394" s="441"/>
      <c r="BO394" s="89" t="s">
        <v>797</v>
      </c>
      <c r="BP394" s="441"/>
      <c r="BQ394" s="441"/>
      <c r="BR394" s="441"/>
      <c r="BS394" s="95">
        <f t="shared" si="12"/>
        <v>30</v>
      </c>
      <c r="BT394" s="95">
        <f t="shared" si="12"/>
        <v>5</v>
      </c>
      <c r="BU394" s="95">
        <f t="shared" si="13"/>
        <v>0</v>
      </c>
      <c r="BV394" s="95">
        <f t="shared" si="9"/>
        <v>0</v>
      </c>
      <c r="BW394" s="95">
        <f t="shared" si="9"/>
        <v>0</v>
      </c>
    </row>
    <row r="395" spans="1:75" ht="14.65" customHeight="1">
      <c r="A395" s="572" t="str">
        <f t="shared" si="10"/>
        <v>Infinitum 299 RResidencial</v>
      </c>
      <c r="B395" s="437">
        <f t="shared" si="11"/>
        <v>12</v>
      </c>
      <c r="C395" s="126" t="s">
        <v>170</v>
      </c>
      <c r="D395" s="438" t="s">
        <v>358</v>
      </c>
      <c r="E395" s="438" t="s">
        <v>798</v>
      </c>
      <c r="F395" s="89">
        <v>257.76</v>
      </c>
      <c r="G395" s="89">
        <v>299</v>
      </c>
      <c r="H395" s="89"/>
      <c r="I395" s="89"/>
      <c r="J395" s="89"/>
      <c r="K395" s="89"/>
      <c r="L395" s="89"/>
      <c r="M395" s="89"/>
      <c r="N395" s="89"/>
      <c r="O395" s="89" t="s">
        <v>972</v>
      </c>
      <c r="P395" s="89" t="s">
        <v>980</v>
      </c>
      <c r="Q395" s="475" t="s">
        <v>797</v>
      </c>
      <c r="R395" s="89"/>
      <c r="S395" s="89"/>
      <c r="T395" s="89"/>
      <c r="U395" s="89" t="s">
        <v>797</v>
      </c>
      <c r="V395" s="89"/>
      <c r="W395" s="89"/>
      <c r="X395" s="89" t="s">
        <v>948</v>
      </c>
      <c r="Y395" s="89"/>
      <c r="Z395" s="89"/>
      <c r="AA395" s="89" t="s">
        <v>797</v>
      </c>
      <c r="AB395" s="89"/>
      <c r="AC395" s="89"/>
      <c r="AD395" s="89" t="s">
        <v>797</v>
      </c>
      <c r="AE395" s="89"/>
      <c r="AF395" s="89"/>
      <c r="AG395" s="89" t="s">
        <v>949</v>
      </c>
      <c r="AH395" s="89"/>
      <c r="AI395" s="89"/>
      <c r="AJ395" s="89"/>
      <c r="AK395" s="89"/>
      <c r="AL395" s="89"/>
      <c r="AM395" s="89"/>
      <c r="AN395" s="89"/>
      <c r="AO395" s="89"/>
      <c r="AP395" s="89"/>
      <c r="AQ395" s="89"/>
      <c r="AR395" s="89"/>
      <c r="AS395" s="89"/>
      <c r="AT395" s="89"/>
      <c r="AU395" s="89"/>
      <c r="AV395" s="89"/>
      <c r="AW395" s="89"/>
      <c r="AX395" s="89"/>
      <c r="AY395" s="89"/>
      <c r="AZ395" s="89"/>
      <c r="BA395" s="89" t="s">
        <v>797</v>
      </c>
      <c r="BB395" s="441"/>
      <c r="BC395" s="441"/>
      <c r="BD395" s="89" t="s">
        <v>797</v>
      </c>
      <c r="BE395" s="89" t="s">
        <v>948</v>
      </c>
      <c r="BF395" s="441">
        <v>0</v>
      </c>
      <c r="BG395" s="441">
        <v>0</v>
      </c>
      <c r="BH395" s="441">
        <v>0</v>
      </c>
      <c r="BI395" s="441">
        <v>0</v>
      </c>
      <c r="BJ395" s="441">
        <v>0</v>
      </c>
      <c r="BK395" s="441" t="s">
        <v>797</v>
      </c>
      <c r="BL395" s="89" t="s">
        <v>797</v>
      </c>
      <c r="BM395" s="441"/>
      <c r="BN395" s="441"/>
      <c r="BO395" s="89" t="s">
        <v>797</v>
      </c>
      <c r="BP395" s="441"/>
      <c r="BQ395" s="441"/>
      <c r="BR395" s="441"/>
      <c r="BS395" s="95">
        <f t="shared" si="12"/>
        <v>40</v>
      </c>
      <c r="BT395" s="95">
        <f t="shared" si="12"/>
        <v>5</v>
      </c>
      <c r="BU395" s="95">
        <f t="shared" si="13"/>
        <v>0</v>
      </c>
      <c r="BV395" s="95">
        <f t="shared" si="9"/>
        <v>0</v>
      </c>
      <c r="BW395" s="95">
        <f t="shared" si="9"/>
        <v>0</v>
      </c>
    </row>
    <row r="396" spans="1:75" ht="14.65" customHeight="1">
      <c r="A396" s="572" t="str">
        <f t="shared" si="10"/>
        <v>Infinitum 349Residencial</v>
      </c>
      <c r="B396" s="437">
        <f t="shared" si="11"/>
        <v>13</v>
      </c>
      <c r="C396" s="255" t="s">
        <v>174</v>
      </c>
      <c r="D396" s="438" t="s">
        <v>358</v>
      </c>
      <c r="E396" s="438" t="s">
        <v>798</v>
      </c>
      <c r="F396" s="89">
        <v>300.86</v>
      </c>
      <c r="G396" s="89">
        <v>348.99759999999998</v>
      </c>
      <c r="H396" s="89"/>
      <c r="I396" s="89"/>
      <c r="J396" s="89"/>
      <c r="K396" s="89"/>
      <c r="L396" s="89"/>
      <c r="M396" s="89"/>
      <c r="N396" s="89"/>
      <c r="O396" s="89" t="s">
        <v>981</v>
      </c>
      <c r="P396" s="89" t="s">
        <v>983</v>
      </c>
      <c r="Q396" s="475" t="s">
        <v>960</v>
      </c>
      <c r="R396" s="89">
        <v>6</v>
      </c>
      <c r="S396" s="89">
        <v>60</v>
      </c>
      <c r="T396" s="89">
        <v>60</v>
      </c>
      <c r="U396" s="89" t="s">
        <v>797</v>
      </c>
      <c r="V396" s="89"/>
      <c r="W396" s="89"/>
      <c r="X396" s="89" t="s">
        <v>948</v>
      </c>
      <c r="Y396" s="89"/>
      <c r="Z396" s="89"/>
      <c r="AA396" s="89" t="s">
        <v>961</v>
      </c>
      <c r="AB396" s="89" t="s">
        <v>962</v>
      </c>
      <c r="AC396" s="89" t="s">
        <v>963</v>
      </c>
      <c r="AD396" s="89" t="s">
        <v>797</v>
      </c>
      <c r="AE396" s="89"/>
      <c r="AF396" s="89"/>
      <c r="AG396" s="89" t="s">
        <v>949</v>
      </c>
      <c r="AH396" s="89"/>
      <c r="AI396" s="89" t="s">
        <v>951</v>
      </c>
      <c r="AJ396" s="89" t="s">
        <v>952</v>
      </c>
      <c r="AK396" s="89"/>
      <c r="AL396" s="89" t="s">
        <v>953</v>
      </c>
      <c r="AM396" s="89" t="s">
        <v>954</v>
      </c>
      <c r="AN396" s="89"/>
      <c r="AO396" s="89"/>
      <c r="AP396" s="89"/>
      <c r="AQ396" s="89"/>
      <c r="AR396" s="89"/>
      <c r="AS396" s="89"/>
      <c r="AT396" s="89"/>
      <c r="AU396" s="89" t="s">
        <v>955</v>
      </c>
      <c r="AV396" s="89"/>
      <c r="AW396" s="89"/>
      <c r="AX396" s="89"/>
      <c r="AY396" s="89"/>
      <c r="AZ396" s="89"/>
      <c r="BA396" s="89" t="s">
        <v>797</v>
      </c>
      <c r="BB396" s="441"/>
      <c r="BC396" s="441"/>
      <c r="BD396" s="89" t="s">
        <v>797</v>
      </c>
      <c r="BE396" s="89" t="s">
        <v>948</v>
      </c>
      <c r="BF396" s="441">
        <v>0</v>
      </c>
      <c r="BG396" s="441">
        <v>0</v>
      </c>
      <c r="BH396" s="441">
        <v>0</v>
      </c>
      <c r="BI396" s="441">
        <v>0</v>
      </c>
      <c r="BJ396" s="441">
        <v>0</v>
      </c>
      <c r="BK396" s="441" t="s">
        <v>797</v>
      </c>
      <c r="BL396" s="89" t="s">
        <v>797</v>
      </c>
      <c r="BM396" s="441"/>
      <c r="BN396" s="441"/>
      <c r="BO396" s="89" t="s">
        <v>797</v>
      </c>
      <c r="BP396" s="441"/>
      <c r="BQ396" s="441"/>
      <c r="BR396" s="441"/>
      <c r="BS396" s="95">
        <f t="shared" si="12"/>
        <v>60</v>
      </c>
      <c r="BT396" s="95">
        <f t="shared" si="12"/>
        <v>10</v>
      </c>
      <c r="BU396" s="95">
        <f t="shared" si="13"/>
        <v>6</v>
      </c>
      <c r="BV396" s="95">
        <f t="shared" si="9"/>
        <v>60</v>
      </c>
      <c r="BW396" s="95">
        <f t="shared" si="9"/>
        <v>60</v>
      </c>
    </row>
    <row r="397" spans="1:75" ht="14.65" customHeight="1">
      <c r="A397" s="572" t="str">
        <f t="shared" si="10"/>
        <v>Infinitum 399Residencial</v>
      </c>
      <c r="B397" s="437">
        <f t="shared" si="11"/>
        <v>14</v>
      </c>
      <c r="C397" s="255" t="s">
        <v>178</v>
      </c>
      <c r="D397" s="438" t="s">
        <v>358</v>
      </c>
      <c r="E397" s="438" t="s">
        <v>798</v>
      </c>
      <c r="F397" s="89">
        <v>343.97</v>
      </c>
      <c r="G397" s="89">
        <v>398.99520000000001</v>
      </c>
      <c r="H397" s="89"/>
      <c r="I397" s="89"/>
      <c r="J397" s="89"/>
      <c r="K397" s="89"/>
      <c r="L397" s="89"/>
      <c r="M397" s="89"/>
      <c r="N397" s="89"/>
      <c r="O397" s="89" t="s">
        <v>1009</v>
      </c>
      <c r="P397" s="89" t="s">
        <v>958</v>
      </c>
      <c r="Q397" s="475" t="s">
        <v>960</v>
      </c>
      <c r="R397" s="89">
        <v>6</v>
      </c>
      <c r="S397" s="89">
        <v>80</v>
      </c>
      <c r="T397" s="89">
        <v>80</v>
      </c>
      <c r="U397" s="89" t="s">
        <v>797</v>
      </c>
      <c r="V397" s="89"/>
      <c r="W397" s="89"/>
      <c r="X397" s="89" t="s">
        <v>948</v>
      </c>
      <c r="Y397" s="89"/>
      <c r="Z397" s="89"/>
      <c r="AA397" s="89" t="s">
        <v>961</v>
      </c>
      <c r="AB397" s="89" t="s">
        <v>962</v>
      </c>
      <c r="AC397" s="89" t="s">
        <v>963</v>
      </c>
      <c r="AD397" s="89" t="s">
        <v>797</v>
      </c>
      <c r="AE397" s="89"/>
      <c r="AF397" s="89"/>
      <c r="AG397" s="89" t="s">
        <v>949</v>
      </c>
      <c r="AH397" s="89"/>
      <c r="AI397" s="89" t="s">
        <v>951</v>
      </c>
      <c r="AJ397" s="89" t="s">
        <v>952</v>
      </c>
      <c r="AK397" s="89"/>
      <c r="AL397" s="89" t="s">
        <v>953</v>
      </c>
      <c r="AM397" s="89" t="s">
        <v>954</v>
      </c>
      <c r="AN397" s="89"/>
      <c r="AO397" s="89"/>
      <c r="AP397" s="89"/>
      <c r="AQ397" s="89"/>
      <c r="AR397" s="89"/>
      <c r="AS397" s="89"/>
      <c r="AT397" s="89"/>
      <c r="AU397" s="89" t="s">
        <v>955</v>
      </c>
      <c r="AV397" s="89"/>
      <c r="AW397" s="89"/>
      <c r="AX397" s="89"/>
      <c r="AY397" s="89"/>
      <c r="AZ397" s="89"/>
      <c r="BA397" s="89" t="s">
        <v>797</v>
      </c>
      <c r="BB397" s="441"/>
      <c r="BC397" s="441"/>
      <c r="BD397" s="89" t="s">
        <v>797</v>
      </c>
      <c r="BE397" s="89" t="s">
        <v>948</v>
      </c>
      <c r="BF397" s="441">
        <v>0</v>
      </c>
      <c r="BG397" s="441">
        <v>0</v>
      </c>
      <c r="BH397" s="441">
        <v>0</v>
      </c>
      <c r="BI397" s="441">
        <v>0</v>
      </c>
      <c r="BJ397" s="441">
        <v>0</v>
      </c>
      <c r="BK397" s="441" t="s">
        <v>797</v>
      </c>
      <c r="BL397" s="89" t="s">
        <v>797</v>
      </c>
      <c r="BM397" s="441"/>
      <c r="BN397" s="441"/>
      <c r="BO397" s="89" t="s">
        <v>797</v>
      </c>
      <c r="BP397" s="441"/>
      <c r="BQ397" s="441"/>
      <c r="BR397" s="441"/>
      <c r="BS397" s="95">
        <f t="shared" si="12"/>
        <v>80</v>
      </c>
      <c r="BT397" s="95">
        <f t="shared" si="12"/>
        <v>20</v>
      </c>
      <c r="BU397" s="95">
        <f t="shared" si="13"/>
        <v>6</v>
      </c>
      <c r="BV397" s="95">
        <f t="shared" si="9"/>
        <v>80</v>
      </c>
      <c r="BW397" s="95">
        <f t="shared" si="9"/>
        <v>80</v>
      </c>
    </row>
    <row r="398" spans="1:75" ht="14.65" customHeight="1">
      <c r="A398" s="572" t="str">
        <f t="shared" si="10"/>
        <v>Infinitum 449Residencial</v>
      </c>
      <c r="B398" s="437">
        <f t="shared" si="11"/>
        <v>15</v>
      </c>
      <c r="C398" s="255" t="s">
        <v>181</v>
      </c>
      <c r="D398" s="438" t="s">
        <v>358</v>
      </c>
      <c r="E398" s="438" t="s">
        <v>798</v>
      </c>
      <c r="F398" s="89">
        <v>387.07</v>
      </c>
      <c r="G398" s="89">
        <v>449</v>
      </c>
      <c r="H398" s="89"/>
      <c r="I398" s="89"/>
      <c r="J398" s="89"/>
      <c r="K398" s="89"/>
      <c r="L398" s="89"/>
      <c r="M398" s="89"/>
      <c r="N398" s="89"/>
      <c r="O398" s="89" t="s">
        <v>982</v>
      </c>
      <c r="P398" s="89" t="s">
        <v>958</v>
      </c>
      <c r="Q398" s="475" t="s">
        <v>960</v>
      </c>
      <c r="R398" s="89">
        <v>6</v>
      </c>
      <c r="S398" s="89">
        <v>150</v>
      </c>
      <c r="T398" s="89">
        <v>150</v>
      </c>
      <c r="U398" s="89" t="s">
        <v>797</v>
      </c>
      <c r="V398" s="89"/>
      <c r="W398" s="89"/>
      <c r="X398" s="89" t="s">
        <v>948</v>
      </c>
      <c r="Y398" s="89"/>
      <c r="Z398" s="89"/>
      <c r="AA398" s="89" t="s">
        <v>961</v>
      </c>
      <c r="AB398" s="89" t="s">
        <v>962</v>
      </c>
      <c r="AC398" s="89" t="s">
        <v>963</v>
      </c>
      <c r="AD398" s="89" t="s">
        <v>797</v>
      </c>
      <c r="AE398" s="89"/>
      <c r="AF398" s="89"/>
      <c r="AG398" s="89" t="s">
        <v>949</v>
      </c>
      <c r="AH398" s="89"/>
      <c r="AI398" s="89" t="s">
        <v>951</v>
      </c>
      <c r="AJ398" s="89" t="s">
        <v>952</v>
      </c>
      <c r="AK398" s="89"/>
      <c r="AL398" s="89" t="s">
        <v>953</v>
      </c>
      <c r="AM398" s="89" t="s">
        <v>954</v>
      </c>
      <c r="AN398" s="89"/>
      <c r="AO398" s="89"/>
      <c r="AP398" s="89"/>
      <c r="AQ398" s="89"/>
      <c r="AR398" s="89"/>
      <c r="AS398" s="89"/>
      <c r="AT398" s="89"/>
      <c r="AU398" s="89" t="s">
        <v>955</v>
      </c>
      <c r="AV398" s="89"/>
      <c r="AW398" s="89"/>
      <c r="AX398" s="89"/>
      <c r="AY398" s="89"/>
      <c r="AZ398" s="89"/>
      <c r="BA398" s="89" t="s">
        <v>797</v>
      </c>
      <c r="BB398" s="441"/>
      <c r="BC398" s="441"/>
      <c r="BD398" s="89" t="s">
        <v>797</v>
      </c>
      <c r="BE398" s="89" t="s">
        <v>948</v>
      </c>
      <c r="BF398" s="441">
        <v>0</v>
      </c>
      <c r="BG398" s="441">
        <v>0</v>
      </c>
      <c r="BH398" s="441">
        <v>0</v>
      </c>
      <c r="BI398" s="441">
        <v>0</v>
      </c>
      <c r="BJ398" s="441">
        <v>0</v>
      </c>
      <c r="BK398" s="441" t="s">
        <v>797</v>
      </c>
      <c r="BL398" s="89" t="s">
        <v>797</v>
      </c>
      <c r="BM398" s="441"/>
      <c r="BN398" s="441"/>
      <c r="BO398" s="89" t="s">
        <v>797</v>
      </c>
      <c r="BP398" s="441"/>
      <c r="BQ398" s="441"/>
      <c r="BR398" s="441"/>
      <c r="BS398" s="95">
        <f t="shared" si="12"/>
        <v>100</v>
      </c>
      <c r="BT398" s="95">
        <f t="shared" si="12"/>
        <v>20</v>
      </c>
      <c r="BU398" s="95">
        <f t="shared" si="13"/>
        <v>6</v>
      </c>
      <c r="BV398" s="95">
        <f t="shared" si="9"/>
        <v>150</v>
      </c>
      <c r="BW398" s="95">
        <f t="shared" si="9"/>
        <v>150</v>
      </c>
    </row>
    <row r="399" spans="1:75" ht="14.65" customHeight="1">
      <c r="A399" s="572" t="str">
        <f t="shared" si="10"/>
        <v>Infinitum 549Residencial</v>
      </c>
      <c r="B399" s="437">
        <f t="shared" si="11"/>
        <v>16</v>
      </c>
      <c r="C399" s="255" t="s">
        <v>183</v>
      </c>
      <c r="D399" s="438" t="s">
        <v>358</v>
      </c>
      <c r="E399" s="438" t="s">
        <v>798</v>
      </c>
      <c r="F399" s="89">
        <v>473.28</v>
      </c>
      <c r="G399" s="89">
        <v>549</v>
      </c>
      <c r="H399" s="89"/>
      <c r="I399" s="89"/>
      <c r="J399" s="89"/>
      <c r="K399" s="89"/>
      <c r="L399" s="89"/>
      <c r="M399" s="89"/>
      <c r="N399" s="89"/>
      <c r="O399" s="89" t="s">
        <v>1010</v>
      </c>
      <c r="P399" s="89" t="s">
        <v>977</v>
      </c>
      <c r="Q399" s="475" t="s">
        <v>960</v>
      </c>
      <c r="R399" s="89">
        <v>6</v>
      </c>
      <c r="S399" s="89">
        <v>350</v>
      </c>
      <c r="T399" s="89">
        <v>350</v>
      </c>
      <c r="U399" s="89" t="s">
        <v>797</v>
      </c>
      <c r="V399" s="89"/>
      <c r="W399" s="89"/>
      <c r="X399" s="89" t="s">
        <v>948</v>
      </c>
      <c r="Y399" s="89"/>
      <c r="Z399" s="89"/>
      <c r="AA399" s="89" t="s">
        <v>961</v>
      </c>
      <c r="AB399" s="89" t="s">
        <v>962</v>
      </c>
      <c r="AC399" s="89" t="s">
        <v>963</v>
      </c>
      <c r="AD399" s="89" t="s">
        <v>797</v>
      </c>
      <c r="AE399" s="89"/>
      <c r="AF399" s="89"/>
      <c r="AG399" s="89" t="s">
        <v>949</v>
      </c>
      <c r="AH399" s="89"/>
      <c r="AI399" s="89" t="s">
        <v>951</v>
      </c>
      <c r="AJ399" s="89" t="s">
        <v>952</v>
      </c>
      <c r="AK399" s="89"/>
      <c r="AL399" s="89" t="s">
        <v>953</v>
      </c>
      <c r="AM399" s="89" t="s">
        <v>954</v>
      </c>
      <c r="AN399" s="89"/>
      <c r="AO399" s="89"/>
      <c r="AP399" s="89"/>
      <c r="AQ399" s="89"/>
      <c r="AR399" s="89"/>
      <c r="AS399" s="89"/>
      <c r="AT399" s="89"/>
      <c r="AU399" s="89" t="s">
        <v>955</v>
      </c>
      <c r="AV399" s="89"/>
      <c r="AW399" s="89"/>
      <c r="AX399" s="89"/>
      <c r="AY399" s="89"/>
      <c r="AZ399" s="89"/>
      <c r="BA399" s="89" t="s">
        <v>797</v>
      </c>
      <c r="BB399" s="441"/>
      <c r="BC399" s="441"/>
      <c r="BD399" s="89" t="s">
        <v>797</v>
      </c>
      <c r="BE399" s="89" t="s">
        <v>948</v>
      </c>
      <c r="BF399" s="441">
        <v>0</v>
      </c>
      <c r="BG399" s="441">
        <v>0</v>
      </c>
      <c r="BH399" s="441">
        <v>0</v>
      </c>
      <c r="BI399" s="441">
        <v>0</v>
      </c>
      <c r="BJ399" s="441">
        <v>0</v>
      </c>
      <c r="BK399" s="441" t="s">
        <v>797</v>
      </c>
      <c r="BL399" s="89" t="s">
        <v>797</v>
      </c>
      <c r="BM399" s="441"/>
      <c r="BN399" s="441"/>
      <c r="BO399" s="89" t="s">
        <v>797</v>
      </c>
      <c r="BP399" s="441"/>
      <c r="BQ399" s="441"/>
      <c r="BR399" s="441"/>
      <c r="BS399" s="95">
        <f t="shared" si="12"/>
        <v>300</v>
      </c>
      <c r="BT399" s="95">
        <f t="shared" si="12"/>
        <v>50</v>
      </c>
      <c r="BU399" s="95">
        <f t="shared" si="13"/>
        <v>6</v>
      </c>
      <c r="BV399" s="95">
        <f t="shared" si="9"/>
        <v>350</v>
      </c>
      <c r="BW399" s="95">
        <f t="shared" si="9"/>
        <v>350</v>
      </c>
    </row>
    <row r="400" spans="1:75" ht="14.65" customHeight="1">
      <c r="A400" s="572" t="str">
        <f t="shared" si="10"/>
        <v>Infinitum 899Residencial</v>
      </c>
      <c r="B400" s="437">
        <f t="shared" si="11"/>
        <v>17</v>
      </c>
      <c r="C400" s="255" t="s">
        <v>185</v>
      </c>
      <c r="D400" s="438" t="s">
        <v>358</v>
      </c>
      <c r="E400" s="438" t="s">
        <v>798</v>
      </c>
      <c r="F400" s="89">
        <v>775</v>
      </c>
      <c r="G400" s="89">
        <v>898.99999999999989</v>
      </c>
      <c r="H400" s="89"/>
      <c r="I400" s="89"/>
      <c r="J400" s="89"/>
      <c r="K400" s="89"/>
      <c r="L400" s="89"/>
      <c r="M400" s="89"/>
      <c r="N400" s="89"/>
      <c r="O400" s="89" t="s">
        <v>994</v>
      </c>
      <c r="P400" s="89" t="s">
        <v>1010</v>
      </c>
      <c r="Q400" s="475" t="s">
        <v>797</v>
      </c>
      <c r="R400" s="89"/>
      <c r="S400" s="89"/>
      <c r="T400" s="89"/>
      <c r="U400" s="89" t="s">
        <v>797</v>
      </c>
      <c r="V400" s="89"/>
      <c r="W400" s="89"/>
      <c r="X400" s="89" t="s">
        <v>948</v>
      </c>
      <c r="Y400" s="89"/>
      <c r="Z400" s="89"/>
      <c r="AA400" s="89" t="s">
        <v>961</v>
      </c>
      <c r="AB400" s="89" t="s">
        <v>962</v>
      </c>
      <c r="AC400" s="89" t="s">
        <v>963</v>
      </c>
      <c r="AD400" s="89" t="s">
        <v>797</v>
      </c>
      <c r="AE400" s="89"/>
      <c r="AF400" s="89"/>
      <c r="AG400" s="89" t="s">
        <v>949</v>
      </c>
      <c r="AH400" s="89"/>
      <c r="AI400" s="89" t="s">
        <v>951</v>
      </c>
      <c r="AJ400" s="89" t="s">
        <v>952</v>
      </c>
      <c r="AK400" s="89"/>
      <c r="AL400" s="89" t="s">
        <v>953</v>
      </c>
      <c r="AM400" s="89" t="s">
        <v>954</v>
      </c>
      <c r="AN400" s="89"/>
      <c r="AO400" s="89"/>
      <c r="AP400" s="89"/>
      <c r="AQ400" s="89"/>
      <c r="AR400" s="89"/>
      <c r="AS400" s="89"/>
      <c r="AT400" s="89"/>
      <c r="AU400" s="89" t="s">
        <v>955</v>
      </c>
      <c r="AV400" s="89"/>
      <c r="AW400" s="89"/>
      <c r="AX400" s="89"/>
      <c r="AY400" s="89"/>
      <c r="AZ400" s="89"/>
      <c r="BA400" s="89" t="s">
        <v>797</v>
      </c>
      <c r="BB400" s="441"/>
      <c r="BC400" s="441"/>
      <c r="BD400" s="89" t="s">
        <v>797</v>
      </c>
      <c r="BE400" s="89" t="s">
        <v>948</v>
      </c>
      <c r="BF400" s="441">
        <v>0</v>
      </c>
      <c r="BG400" s="441">
        <v>0</v>
      </c>
      <c r="BH400" s="441">
        <v>0</v>
      </c>
      <c r="BI400" s="441">
        <v>0</v>
      </c>
      <c r="BJ400" s="441">
        <v>0</v>
      </c>
      <c r="BK400" s="441" t="s">
        <v>797</v>
      </c>
      <c r="BL400" s="89" t="s">
        <v>797</v>
      </c>
      <c r="BM400" s="441"/>
      <c r="BN400" s="441"/>
      <c r="BO400" s="89" t="s">
        <v>797</v>
      </c>
      <c r="BP400" s="441"/>
      <c r="BQ400" s="441"/>
      <c r="BR400" s="441"/>
      <c r="BS400" s="95">
        <f t="shared" si="12"/>
        <v>750</v>
      </c>
      <c r="BT400" s="95">
        <f t="shared" si="12"/>
        <v>300</v>
      </c>
      <c r="BU400" s="95">
        <f t="shared" si="13"/>
        <v>0</v>
      </c>
      <c r="BV400" s="95">
        <f t="shared" si="13"/>
        <v>0</v>
      </c>
      <c r="BW400" s="95">
        <f t="shared" si="13"/>
        <v>0</v>
      </c>
    </row>
    <row r="401" spans="1:75" ht="14.65" customHeight="1">
      <c r="A401" s="572" t="str">
        <f t="shared" si="10"/>
        <v>Paquete Conectes NegocioNo Residencial</v>
      </c>
      <c r="B401" s="437">
        <f t="shared" si="11"/>
        <v>18</v>
      </c>
      <c r="C401" s="255" t="s">
        <v>195</v>
      </c>
      <c r="D401" s="438" t="s">
        <v>359</v>
      </c>
      <c r="E401" s="438" t="s">
        <v>796</v>
      </c>
      <c r="F401" s="89">
        <v>336.9</v>
      </c>
      <c r="G401" s="89">
        <v>399</v>
      </c>
      <c r="H401" s="89">
        <v>1</v>
      </c>
      <c r="I401" s="89" t="s">
        <v>950</v>
      </c>
      <c r="J401" s="89" t="s">
        <v>956</v>
      </c>
      <c r="K401" s="89" t="s">
        <v>956</v>
      </c>
      <c r="L401" s="89" t="s">
        <v>956</v>
      </c>
      <c r="M401" s="89">
        <v>5</v>
      </c>
      <c r="N401" s="89" t="s">
        <v>957</v>
      </c>
      <c r="O401" s="89" t="s">
        <v>981</v>
      </c>
      <c r="P401" s="89" t="s">
        <v>983</v>
      </c>
      <c r="Q401" s="475" t="s">
        <v>960</v>
      </c>
      <c r="R401" s="89">
        <v>6</v>
      </c>
      <c r="S401" s="89">
        <v>60</v>
      </c>
      <c r="T401" s="89">
        <v>60</v>
      </c>
      <c r="U401" s="89" t="s">
        <v>797</v>
      </c>
      <c r="V401" s="89"/>
      <c r="W401" s="89"/>
      <c r="X401" s="89" t="s">
        <v>948</v>
      </c>
      <c r="Y401" s="89"/>
      <c r="Z401" s="89"/>
      <c r="AA401" s="89" t="s">
        <v>797</v>
      </c>
      <c r="AB401" s="89"/>
      <c r="AC401" s="89"/>
      <c r="AD401" s="89" t="s">
        <v>797</v>
      </c>
      <c r="AE401" s="89"/>
      <c r="AF401" s="89"/>
      <c r="AG401" s="89" t="s">
        <v>949</v>
      </c>
      <c r="AH401" s="89"/>
      <c r="AI401" s="89"/>
      <c r="AJ401" s="89" t="s">
        <v>984</v>
      </c>
      <c r="AK401" s="89"/>
      <c r="AL401" s="89" t="s">
        <v>985</v>
      </c>
      <c r="AM401" s="89"/>
      <c r="AN401" s="89" t="s">
        <v>986</v>
      </c>
      <c r="AO401" s="89" t="s">
        <v>987</v>
      </c>
      <c r="AP401" s="89" t="s">
        <v>988</v>
      </c>
      <c r="AQ401" s="89" t="s">
        <v>989</v>
      </c>
      <c r="AR401" s="89" t="s">
        <v>990</v>
      </c>
      <c r="AS401" s="89"/>
      <c r="AT401" s="89" t="s">
        <v>991</v>
      </c>
      <c r="AU401" s="89" t="s">
        <v>955</v>
      </c>
      <c r="AV401" s="89"/>
      <c r="AW401" s="89"/>
      <c r="AX401" s="89"/>
      <c r="AY401" s="89"/>
      <c r="AZ401" s="89"/>
      <c r="BA401" s="89" t="s">
        <v>797</v>
      </c>
      <c r="BB401" s="441"/>
      <c r="BC401" s="441"/>
      <c r="BD401" s="89" t="s">
        <v>797</v>
      </c>
      <c r="BE401" s="89" t="s">
        <v>948</v>
      </c>
      <c r="BF401" s="441">
        <v>0</v>
      </c>
      <c r="BG401" s="441">
        <v>0</v>
      </c>
      <c r="BH401" s="441">
        <v>0</v>
      </c>
      <c r="BI401" s="441">
        <v>0</v>
      </c>
      <c r="BJ401" s="441">
        <v>0</v>
      </c>
      <c r="BK401" s="441" t="s">
        <v>797</v>
      </c>
      <c r="BL401" s="89" t="s">
        <v>797</v>
      </c>
      <c r="BM401" s="441"/>
      <c r="BN401" s="441"/>
      <c r="BO401" s="89" t="s">
        <v>960</v>
      </c>
      <c r="BP401" s="441" t="s">
        <v>964</v>
      </c>
      <c r="BQ401" s="441" t="s">
        <v>965</v>
      </c>
      <c r="BR401" s="441" t="s">
        <v>966</v>
      </c>
      <c r="BS401" s="95">
        <f t="shared" si="12"/>
        <v>60</v>
      </c>
      <c r="BT401" s="95">
        <f t="shared" si="12"/>
        <v>10</v>
      </c>
      <c r="BU401" s="95">
        <f t="shared" si="13"/>
        <v>6</v>
      </c>
      <c r="BV401" s="95">
        <f t="shared" si="13"/>
        <v>60</v>
      </c>
      <c r="BW401" s="95">
        <f t="shared" si="13"/>
        <v>60</v>
      </c>
    </row>
    <row r="402" spans="1:75" ht="14.65" customHeight="1">
      <c r="A402" s="572" t="str">
        <f t="shared" si="10"/>
        <v>Paquete Mi NegocioNo Residencial</v>
      </c>
      <c r="B402" s="437">
        <f t="shared" si="11"/>
        <v>19</v>
      </c>
      <c r="C402" s="255" t="s">
        <v>197</v>
      </c>
      <c r="D402" s="438" t="s">
        <v>359</v>
      </c>
      <c r="E402" s="438" t="s">
        <v>796</v>
      </c>
      <c r="F402" s="89">
        <v>463.55</v>
      </c>
      <c r="G402" s="89">
        <v>549</v>
      </c>
      <c r="H402" s="89">
        <v>2</v>
      </c>
      <c r="I402" s="89" t="s">
        <v>950</v>
      </c>
      <c r="J402" s="89" t="s">
        <v>950</v>
      </c>
      <c r="K402" s="89" t="s">
        <v>956</v>
      </c>
      <c r="L402" s="89" t="s">
        <v>956</v>
      </c>
      <c r="M402" s="89">
        <v>5</v>
      </c>
      <c r="N402" s="89" t="s">
        <v>957</v>
      </c>
      <c r="O402" s="89" t="s">
        <v>982</v>
      </c>
      <c r="P402" s="89" t="s">
        <v>983</v>
      </c>
      <c r="Q402" s="475" t="s">
        <v>960</v>
      </c>
      <c r="R402" s="89">
        <v>6</v>
      </c>
      <c r="S402" s="89">
        <v>150</v>
      </c>
      <c r="T402" s="89">
        <v>150</v>
      </c>
      <c r="U402" s="89" t="s">
        <v>797</v>
      </c>
      <c r="V402" s="89"/>
      <c r="W402" s="89"/>
      <c r="X402" s="89" t="s">
        <v>948</v>
      </c>
      <c r="Y402" s="89"/>
      <c r="Z402" s="89"/>
      <c r="AA402" s="89" t="s">
        <v>797</v>
      </c>
      <c r="AB402" s="89"/>
      <c r="AC402" s="89"/>
      <c r="AD402" s="89" t="s">
        <v>797</v>
      </c>
      <c r="AE402" s="89"/>
      <c r="AF402" s="89"/>
      <c r="AG402" s="89" t="s">
        <v>949</v>
      </c>
      <c r="AH402" s="89"/>
      <c r="AI402" s="89"/>
      <c r="AJ402" s="89" t="s">
        <v>984</v>
      </c>
      <c r="AK402" s="89"/>
      <c r="AL402" s="89" t="s">
        <v>985</v>
      </c>
      <c r="AM402" s="89"/>
      <c r="AN402" s="89" t="s">
        <v>986</v>
      </c>
      <c r="AO402" s="89" t="s">
        <v>987</v>
      </c>
      <c r="AP402" s="89" t="s">
        <v>988</v>
      </c>
      <c r="AQ402" s="89" t="s">
        <v>989</v>
      </c>
      <c r="AR402" s="89" t="s">
        <v>990</v>
      </c>
      <c r="AS402" s="89"/>
      <c r="AT402" s="89" t="s">
        <v>991</v>
      </c>
      <c r="AU402" s="89" t="s">
        <v>955</v>
      </c>
      <c r="AV402" s="89"/>
      <c r="AW402" s="89"/>
      <c r="AX402" s="89"/>
      <c r="AY402" s="89"/>
      <c r="AZ402" s="89"/>
      <c r="BA402" s="89" t="s">
        <v>797</v>
      </c>
      <c r="BB402" s="441"/>
      <c r="BC402" s="441"/>
      <c r="BD402" s="89" t="s">
        <v>797</v>
      </c>
      <c r="BE402" s="89" t="s">
        <v>948</v>
      </c>
      <c r="BF402" s="441">
        <v>0</v>
      </c>
      <c r="BG402" s="441">
        <v>0</v>
      </c>
      <c r="BH402" s="441">
        <v>0</v>
      </c>
      <c r="BI402" s="441">
        <v>0</v>
      </c>
      <c r="BJ402" s="441">
        <v>0</v>
      </c>
      <c r="BK402" s="441" t="s">
        <v>797</v>
      </c>
      <c r="BL402" s="89" t="s">
        <v>797</v>
      </c>
      <c r="BM402" s="441"/>
      <c r="BN402" s="441"/>
      <c r="BO402" s="89" t="s">
        <v>797</v>
      </c>
      <c r="BP402" s="441"/>
      <c r="BQ402" s="441"/>
      <c r="BR402" s="441"/>
      <c r="BS402" s="95">
        <f t="shared" si="12"/>
        <v>100</v>
      </c>
      <c r="BT402" s="95">
        <f t="shared" si="12"/>
        <v>10</v>
      </c>
      <c r="BU402" s="95">
        <f t="shared" si="13"/>
        <v>6</v>
      </c>
      <c r="BV402" s="95">
        <f t="shared" si="13"/>
        <v>150</v>
      </c>
      <c r="BW402" s="95">
        <f t="shared" si="13"/>
        <v>150</v>
      </c>
    </row>
    <row r="403" spans="1:75" ht="14.65" customHeight="1">
      <c r="A403" s="572" t="str">
        <f t="shared" si="10"/>
        <v>Paquete Negocio 649No Residencial</v>
      </c>
      <c r="B403" s="437">
        <f t="shared" si="11"/>
        <v>20</v>
      </c>
      <c r="C403" s="255" t="s">
        <v>199</v>
      </c>
      <c r="D403" s="438" t="s">
        <v>359</v>
      </c>
      <c r="E403" s="438" t="s">
        <v>796</v>
      </c>
      <c r="F403" s="89">
        <v>547.98</v>
      </c>
      <c r="G403" s="89">
        <v>649</v>
      </c>
      <c r="H403" s="89">
        <v>2</v>
      </c>
      <c r="I403" s="89" t="s">
        <v>950</v>
      </c>
      <c r="J403" s="89" t="s">
        <v>956</v>
      </c>
      <c r="K403" s="89" t="s">
        <v>956</v>
      </c>
      <c r="L403" s="89" t="s">
        <v>956</v>
      </c>
      <c r="M403" s="89">
        <v>5</v>
      </c>
      <c r="N403" s="89" t="s">
        <v>957</v>
      </c>
      <c r="O403" s="89" t="s">
        <v>976</v>
      </c>
      <c r="P403" s="89" t="s">
        <v>977</v>
      </c>
      <c r="Q403" s="475" t="s">
        <v>960</v>
      </c>
      <c r="R403" s="89">
        <v>6</v>
      </c>
      <c r="S403" s="89">
        <v>250</v>
      </c>
      <c r="T403" s="89">
        <v>250</v>
      </c>
      <c r="U403" s="89" t="s">
        <v>797</v>
      </c>
      <c r="V403" s="89"/>
      <c r="W403" s="89"/>
      <c r="X403" s="89" t="s">
        <v>948</v>
      </c>
      <c r="Y403" s="89"/>
      <c r="Z403" s="89"/>
      <c r="AA403" s="89" t="s">
        <v>797</v>
      </c>
      <c r="AB403" s="89"/>
      <c r="AC403" s="89"/>
      <c r="AD403" s="89" t="s">
        <v>797</v>
      </c>
      <c r="AE403" s="89"/>
      <c r="AF403" s="89"/>
      <c r="AG403" s="89" t="s">
        <v>949</v>
      </c>
      <c r="AH403" s="89"/>
      <c r="AI403" s="89"/>
      <c r="AJ403" s="89" t="s">
        <v>984</v>
      </c>
      <c r="AK403" s="89"/>
      <c r="AL403" s="89" t="s">
        <v>985</v>
      </c>
      <c r="AM403" s="89"/>
      <c r="AN403" s="89" t="s">
        <v>986</v>
      </c>
      <c r="AO403" s="89" t="s">
        <v>987</v>
      </c>
      <c r="AP403" s="89" t="s">
        <v>988</v>
      </c>
      <c r="AQ403" s="89" t="s">
        <v>989</v>
      </c>
      <c r="AR403" s="89" t="s">
        <v>990</v>
      </c>
      <c r="AS403" s="89"/>
      <c r="AT403" s="89" t="s">
        <v>991</v>
      </c>
      <c r="AU403" s="89" t="s">
        <v>955</v>
      </c>
      <c r="AV403" s="89"/>
      <c r="AW403" s="89"/>
      <c r="AX403" s="89"/>
      <c r="AY403" s="89"/>
      <c r="AZ403" s="89"/>
      <c r="BA403" s="89" t="s">
        <v>797</v>
      </c>
      <c r="BB403" s="441"/>
      <c r="BC403" s="441"/>
      <c r="BD403" s="89" t="s">
        <v>797</v>
      </c>
      <c r="BE403" s="89" t="s">
        <v>948</v>
      </c>
      <c r="BF403" s="441">
        <v>0</v>
      </c>
      <c r="BG403" s="441">
        <v>0</v>
      </c>
      <c r="BH403" s="441">
        <v>0</v>
      </c>
      <c r="BI403" s="441">
        <v>0</v>
      </c>
      <c r="BJ403" s="441">
        <v>0</v>
      </c>
      <c r="BK403" s="441" t="s">
        <v>797</v>
      </c>
      <c r="BL403" s="89" t="s">
        <v>797</v>
      </c>
      <c r="BM403" s="441"/>
      <c r="BN403" s="441"/>
      <c r="BO403" s="89" t="s">
        <v>797</v>
      </c>
      <c r="BP403" s="441"/>
      <c r="BQ403" s="441"/>
      <c r="BR403" s="441"/>
      <c r="BS403" s="95">
        <f t="shared" si="12"/>
        <v>200</v>
      </c>
      <c r="BT403" s="95">
        <f t="shared" si="12"/>
        <v>50</v>
      </c>
      <c r="BU403" s="95">
        <f t="shared" si="13"/>
        <v>6</v>
      </c>
      <c r="BV403" s="95">
        <f t="shared" si="13"/>
        <v>250</v>
      </c>
      <c r="BW403" s="95">
        <f t="shared" si="13"/>
        <v>250</v>
      </c>
    </row>
    <row r="404" spans="1:75" ht="14.65" customHeight="1">
      <c r="A404" s="572" t="str">
        <f t="shared" si="10"/>
        <v>Paquete SupernegocioNo Residencial</v>
      </c>
      <c r="B404" s="437">
        <f t="shared" si="11"/>
        <v>21</v>
      </c>
      <c r="C404" s="255" t="s">
        <v>201</v>
      </c>
      <c r="D404" s="438" t="s">
        <v>359</v>
      </c>
      <c r="E404" s="438" t="s">
        <v>796</v>
      </c>
      <c r="F404" s="89">
        <v>674.64</v>
      </c>
      <c r="G404" s="89">
        <v>799</v>
      </c>
      <c r="H404" s="89">
        <v>2</v>
      </c>
      <c r="I404" s="89" t="s">
        <v>950</v>
      </c>
      <c r="J404" s="89" t="s">
        <v>950</v>
      </c>
      <c r="K404" s="89" t="s">
        <v>956</v>
      </c>
      <c r="L404" s="89" t="s">
        <v>956</v>
      </c>
      <c r="M404" s="89">
        <v>5</v>
      </c>
      <c r="N404" s="89" t="s">
        <v>957</v>
      </c>
      <c r="O404" s="89" t="s">
        <v>1010</v>
      </c>
      <c r="P404" s="89" t="s">
        <v>977</v>
      </c>
      <c r="Q404" s="475" t="s">
        <v>960</v>
      </c>
      <c r="R404" s="89">
        <v>6</v>
      </c>
      <c r="S404" s="89">
        <v>350</v>
      </c>
      <c r="T404" s="89">
        <v>350</v>
      </c>
      <c r="U404" s="89" t="s">
        <v>797</v>
      </c>
      <c r="V404" s="89"/>
      <c r="W404" s="89"/>
      <c r="X404" s="89" t="s">
        <v>948</v>
      </c>
      <c r="Y404" s="89"/>
      <c r="Z404" s="89"/>
      <c r="AA404" s="89" t="s">
        <v>797</v>
      </c>
      <c r="AB404" s="89"/>
      <c r="AC404" s="89"/>
      <c r="AD404" s="89" t="s">
        <v>797</v>
      </c>
      <c r="AE404" s="89"/>
      <c r="AF404" s="89"/>
      <c r="AG404" s="89" t="s">
        <v>949</v>
      </c>
      <c r="AH404" s="89"/>
      <c r="AI404" s="89"/>
      <c r="AJ404" s="89" t="s">
        <v>984</v>
      </c>
      <c r="AK404" s="89"/>
      <c r="AL404" s="89" t="s">
        <v>985</v>
      </c>
      <c r="AM404" s="89"/>
      <c r="AN404" s="89" t="s">
        <v>986</v>
      </c>
      <c r="AO404" s="89" t="s">
        <v>987</v>
      </c>
      <c r="AP404" s="89" t="s">
        <v>988</v>
      </c>
      <c r="AQ404" s="89" t="s">
        <v>989</v>
      </c>
      <c r="AR404" s="89" t="s">
        <v>990</v>
      </c>
      <c r="AS404" s="89" t="s">
        <v>992</v>
      </c>
      <c r="AT404" s="89" t="s">
        <v>991</v>
      </c>
      <c r="AU404" s="89" t="s">
        <v>955</v>
      </c>
      <c r="AV404" s="89"/>
      <c r="AW404" s="89"/>
      <c r="AX404" s="89"/>
      <c r="AY404" s="89"/>
      <c r="AZ404" s="89"/>
      <c r="BA404" s="89" t="s">
        <v>797</v>
      </c>
      <c r="BB404" s="441"/>
      <c r="BC404" s="441"/>
      <c r="BD404" s="89" t="s">
        <v>797</v>
      </c>
      <c r="BE404" s="89" t="s">
        <v>948</v>
      </c>
      <c r="BF404" s="441">
        <v>0</v>
      </c>
      <c r="BG404" s="441">
        <v>0</v>
      </c>
      <c r="BH404" s="441">
        <v>0</v>
      </c>
      <c r="BI404" s="441">
        <v>0</v>
      </c>
      <c r="BJ404" s="441">
        <v>0</v>
      </c>
      <c r="BK404" s="441" t="s">
        <v>797</v>
      </c>
      <c r="BL404" s="89" t="s">
        <v>797</v>
      </c>
      <c r="BM404" s="441"/>
      <c r="BN404" s="441"/>
      <c r="BO404" s="89" t="s">
        <v>960</v>
      </c>
      <c r="BP404" s="441" t="s">
        <v>964</v>
      </c>
      <c r="BQ404" s="441" t="s">
        <v>965</v>
      </c>
      <c r="BR404" s="441" t="s">
        <v>966</v>
      </c>
      <c r="BS404" s="95">
        <f t="shared" si="12"/>
        <v>300</v>
      </c>
      <c r="BT404" s="95">
        <f t="shared" si="12"/>
        <v>50</v>
      </c>
      <c r="BU404" s="95">
        <f t="shared" si="13"/>
        <v>6</v>
      </c>
      <c r="BV404" s="95">
        <f t="shared" si="13"/>
        <v>350</v>
      </c>
      <c r="BW404" s="95">
        <f t="shared" si="13"/>
        <v>350</v>
      </c>
    </row>
    <row r="405" spans="1:75" ht="14.65" customHeight="1">
      <c r="A405" s="572" t="str">
        <f t="shared" si="10"/>
        <v>Paquete Negocio 999No Residencial</v>
      </c>
      <c r="B405" s="437">
        <f t="shared" si="11"/>
        <v>22</v>
      </c>
      <c r="C405" s="255" t="s">
        <v>203</v>
      </c>
      <c r="D405" s="438" t="s">
        <v>359</v>
      </c>
      <c r="E405" s="438" t="s">
        <v>796</v>
      </c>
      <c r="F405" s="89">
        <v>843.5</v>
      </c>
      <c r="G405" s="89">
        <v>999</v>
      </c>
      <c r="H405" s="89">
        <v>2</v>
      </c>
      <c r="I405" s="89" t="s">
        <v>950</v>
      </c>
      <c r="J405" s="89" t="s">
        <v>956</v>
      </c>
      <c r="K405" s="89" t="s">
        <v>956</v>
      </c>
      <c r="L405" s="89" t="s">
        <v>956</v>
      </c>
      <c r="M405" s="89">
        <v>5</v>
      </c>
      <c r="N405" s="89" t="s">
        <v>957</v>
      </c>
      <c r="O405" s="89" t="s">
        <v>978</v>
      </c>
      <c r="P405" s="89" t="s">
        <v>1010</v>
      </c>
      <c r="Q405" s="475" t="s">
        <v>797</v>
      </c>
      <c r="R405" s="89"/>
      <c r="S405" s="89"/>
      <c r="T405" s="89"/>
      <c r="U405" s="89" t="s">
        <v>797</v>
      </c>
      <c r="V405" s="89"/>
      <c r="W405" s="89"/>
      <c r="X405" s="89" t="s">
        <v>948</v>
      </c>
      <c r="Y405" s="89"/>
      <c r="Z405" s="89"/>
      <c r="AA405" s="89" t="s">
        <v>797</v>
      </c>
      <c r="AB405" s="89"/>
      <c r="AC405" s="89"/>
      <c r="AD405" s="89" t="s">
        <v>797</v>
      </c>
      <c r="AE405" s="89"/>
      <c r="AF405" s="89"/>
      <c r="AG405" s="89" t="s">
        <v>949</v>
      </c>
      <c r="AH405" s="89"/>
      <c r="AI405" s="89"/>
      <c r="AJ405" s="89" t="s">
        <v>984</v>
      </c>
      <c r="AK405" s="89"/>
      <c r="AL405" s="89" t="s">
        <v>985</v>
      </c>
      <c r="AM405" s="89"/>
      <c r="AN405" s="89" t="s">
        <v>986</v>
      </c>
      <c r="AO405" s="89" t="s">
        <v>987</v>
      </c>
      <c r="AP405" s="89" t="s">
        <v>988</v>
      </c>
      <c r="AQ405" s="89"/>
      <c r="AR405" s="89" t="s">
        <v>993</v>
      </c>
      <c r="AS405" s="89" t="s">
        <v>992</v>
      </c>
      <c r="AT405" s="89" t="s">
        <v>991</v>
      </c>
      <c r="AU405" s="89" t="s">
        <v>955</v>
      </c>
      <c r="AV405" s="89"/>
      <c r="AW405" s="89"/>
      <c r="AX405" s="89"/>
      <c r="AY405" s="89"/>
      <c r="AZ405" s="89"/>
      <c r="BA405" s="89" t="s">
        <v>797</v>
      </c>
      <c r="BB405" s="441"/>
      <c r="BC405" s="441"/>
      <c r="BD405" s="89" t="s">
        <v>797</v>
      </c>
      <c r="BE405" s="89" t="s">
        <v>948</v>
      </c>
      <c r="BF405" s="441">
        <v>0</v>
      </c>
      <c r="BG405" s="441">
        <v>0</v>
      </c>
      <c r="BH405" s="441">
        <v>0</v>
      </c>
      <c r="BI405" s="441">
        <v>0</v>
      </c>
      <c r="BJ405" s="441">
        <v>0</v>
      </c>
      <c r="BK405" s="441" t="s">
        <v>797</v>
      </c>
      <c r="BL405" s="89" t="s">
        <v>797</v>
      </c>
      <c r="BM405" s="441"/>
      <c r="BN405" s="441"/>
      <c r="BO405" s="89" t="s">
        <v>797</v>
      </c>
      <c r="BP405" s="441"/>
      <c r="BQ405" s="441"/>
      <c r="BR405" s="441"/>
      <c r="BS405" s="95">
        <f t="shared" si="12"/>
        <v>500</v>
      </c>
      <c r="BT405" s="95">
        <f t="shared" si="12"/>
        <v>300</v>
      </c>
      <c r="BU405" s="95">
        <f t="shared" si="13"/>
        <v>0</v>
      </c>
      <c r="BV405" s="95">
        <f t="shared" si="13"/>
        <v>0</v>
      </c>
      <c r="BW405" s="95">
        <f t="shared" si="13"/>
        <v>0</v>
      </c>
    </row>
    <row r="406" spans="1:75" ht="14.65" customHeight="1">
      <c r="A406" s="572" t="str">
        <f t="shared" si="10"/>
        <v>Paquete Telmex Negocio Ilimitado 1No Residencial</v>
      </c>
      <c r="B406" s="437">
        <f t="shared" si="11"/>
        <v>23</v>
      </c>
      <c r="C406" s="255" t="s">
        <v>205</v>
      </c>
      <c r="D406" s="438" t="s">
        <v>359</v>
      </c>
      <c r="E406" s="438" t="s">
        <v>796</v>
      </c>
      <c r="F406" s="89">
        <v>1265.6600000000001</v>
      </c>
      <c r="G406" s="89">
        <v>1499</v>
      </c>
      <c r="H406" s="89">
        <v>2</v>
      </c>
      <c r="I406" s="89" t="s">
        <v>950</v>
      </c>
      <c r="J406" s="89" t="s">
        <v>950</v>
      </c>
      <c r="K406" s="89" t="s">
        <v>956</v>
      </c>
      <c r="L406" s="89" t="s">
        <v>956</v>
      </c>
      <c r="M406" s="89">
        <v>5</v>
      </c>
      <c r="N406" s="89" t="s">
        <v>957</v>
      </c>
      <c r="O406" s="89" t="s">
        <v>994</v>
      </c>
      <c r="P406" s="89" t="s">
        <v>1010</v>
      </c>
      <c r="Q406" s="475" t="s">
        <v>797</v>
      </c>
      <c r="R406" s="89"/>
      <c r="S406" s="89"/>
      <c r="T406" s="89"/>
      <c r="U406" s="89" t="s">
        <v>797</v>
      </c>
      <c r="V406" s="89"/>
      <c r="W406" s="89"/>
      <c r="X406" s="89" t="s">
        <v>948</v>
      </c>
      <c r="Y406" s="89"/>
      <c r="Z406" s="89"/>
      <c r="AA406" s="89" t="s">
        <v>797</v>
      </c>
      <c r="AB406" s="89"/>
      <c r="AC406" s="89"/>
      <c r="AD406" s="89" t="s">
        <v>797</v>
      </c>
      <c r="AE406" s="89"/>
      <c r="AF406" s="89"/>
      <c r="AG406" s="89" t="s">
        <v>949</v>
      </c>
      <c r="AH406" s="89"/>
      <c r="AI406" s="89"/>
      <c r="AJ406" s="89" t="s">
        <v>984</v>
      </c>
      <c r="AK406" s="89"/>
      <c r="AL406" s="89" t="s">
        <v>985</v>
      </c>
      <c r="AM406" s="89"/>
      <c r="AN406" s="89" t="s">
        <v>986</v>
      </c>
      <c r="AO406" s="89" t="s">
        <v>987</v>
      </c>
      <c r="AP406" s="89" t="s">
        <v>988</v>
      </c>
      <c r="AQ406" s="89"/>
      <c r="AR406" s="89" t="s">
        <v>993</v>
      </c>
      <c r="AS406" s="89" t="s">
        <v>992</v>
      </c>
      <c r="AT406" s="89" t="s">
        <v>991</v>
      </c>
      <c r="AU406" s="89" t="s">
        <v>955</v>
      </c>
      <c r="AV406" s="89"/>
      <c r="AW406" s="89"/>
      <c r="AX406" s="89"/>
      <c r="AY406" s="89"/>
      <c r="AZ406" s="89"/>
      <c r="BA406" s="89" t="s">
        <v>797</v>
      </c>
      <c r="BB406" s="441"/>
      <c r="BC406" s="441"/>
      <c r="BD406" s="89" t="s">
        <v>797</v>
      </c>
      <c r="BE406" s="89" t="s">
        <v>948</v>
      </c>
      <c r="BF406" s="441">
        <v>0</v>
      </c>
      <c r="BG406" s="441">
        <v>0</v>
      </c>
      <c r="BH406" s="441">
        <v>0</v>
      </c>
      <c r="BI406" s="441">
        <v>0</v>
      </c>
      <c r="BJ406" s="441">
        <v>0</v>
      </c>
      <c r="BK406" s="441" t="s">
        <v>797</v>
      </c>
      <c r="BL406" s="89" t="s">
        <v>797</v>
      </c>
      <c r="BM406" s="441"/>
      <c r="BN406" s="441"/>
      <c r="BO406" s="89" t="s">
        <v>797</v>
      </c>
      <c r="BP406" s="441"/>
      <c r="BQ406" s="441"/>
      <c r="BR406" s="441"/>
      <c r="BS406" s="95">
        <f t="shared" si="12"/>
        <v>750</v>
      </c>
      <c r="BT406" s="95">
        <f t="shared" si="12"/>
        <v>300</v>
      </c>
      <c r="BU406" s="95">
        <f t="shared" si="13"/>
        <v>0</v>
      </c>
      <c r="BV406" s="95">
        <f t="shared" si="13"/>
        <v>0</v>
      </c>
      <c r="BW406" s="95">
        <f t="shared" si="13"/>
        <v>0</v>
      </c>
    </row>
    <row r="407" spans="1:75" ht="14.65" customHeight="1">
      <c r="A407" s="572" t="str">
        <f t="shared" si="10"/>
        <v>Paquete Telmex Negocio Ilimitado 2No Residencial</v>
      </c>
      <c r="B407" s="437">
        <f t="shared" si="11"/>
        <v>24</v>
      </c>
      <c r="C407" s="255" t="s">
        <v>206</v>
      </c>
      <c r="D407" s="438" t="s">
        <v>359</v>
      </c>
      <c r="E407" s="438" t="s">
        <v>796</v>
      </c>
      <c r="F407" s="89">
        <v>1510.52</v>
      </c>
      <c r="G407" s="89">
        <v>1789</v>
      </c>
      <c r="H407" s="89">
        <v>4</v>
      </c>
      <c r="I407" s="89" t="s">
        <v>950</v>
      </c>
      <c r="J407" s="89" t="s">
        <v>950</v>
      </c>
      <c r="K407" s="89" t="s">
        <v>956</v>
      </c>
      <c r="L407" s="89" t="s">
        <v>956</v>
      </c>
      <c r="M407" s="89">
        <v>5</v>
      </c>
      <c r="N407" s="89" t="s">
        <v>957</v>
      </c>
      <c r="O407" s="89" t="s">
        <v>994</v>
      </c>
      <c r="P407" s="89" t="s">
        <v>1010</v>
      </c>
      <c r="Q407" s="475" t="s">
        <v>797</v>
      </c>
      <c r="R407" s="89"/>
      <c r="S407" s="89"/>
      <c r="T407" s="89"/>
      <c r="U407" s="89" t="s">
        <v>797</v>
      </c>
      <c r="V407" s="89"/>
      <c r="W407" s="89"/>
      <c r="X407" s="89" t="s">
        <v>948</v>
      </c>
      <c r="Y407" s="89"/>
      <c r="Z407" s="89"/>
      <c r="AA407" s="89" t="s">
        <v>797</v>
      </c>
      <c r="AB407" s="89"/>
      <c r="AC407" s="89"/>
      <c r="AD407" s="89" t="s">
        <v>797</v>
      </c>
      <c r="AE407" s="89"/>
      <c r="AF407" s="89"/>
      <c r="AG407" s="89" t="s">
        <v>949</v>
      </c>
      <c r="AH407" s="89"/>
      <c r="AI407" s="89"/>
      <c r="AJ407" s="89" t="s">
        <v>984</v>
      </c>
      <c r="AK407" s="89"/>
      <c r="AL407" s="89" t="s">
        <v>985</v>
      </c>
      <c r="AM407" s="89"/>
      <c r="AN407" s="89" t="s">
        <v>986</v>
      </c>
      <c r="AO407" s="89" t="s">
        <v>987</v>
      </c>
      <c r="AP407" s="89" t="s">
        <v>988</v>
      </c>
      <c r="AQ407" s="89"/>
      <c r="AR407" s="89" t="s">
        <v>993</v>
      </c>
      <c r="AS407" s="89" t="s">
        <v>992</v>
      </c>
      <c r="AT407" s="89" t="s">
        <v>991</v>
      </c>
      <c r="AU407" s="89" t="s">
        <v>955</v>
      </c>
      <c r="AV407" s="89"/>
      <c r="AW407" s="89"/>
      <c r="AX407" s="89"/>
      <c r="AY407" s="89"/>
      <c r="AZ407" s="89"/>
      <c r="BA407" s="89" t="s">
        <v>797</v>
      </c>
      <c r="BB407" s="441"/>
      <c r="BC407" s="441"/>
      <c r="BD407" s="89" t="s">
        <v>797</v>
      </c>
      <c r="BE407" s="89" t="s">
        <v>948</v>
      </c>
      <c r="BF407" s="441">
        <v>0</v>
      </c>
      <c r="BG407" s="441">
        <v>0</v>
      </c>
      <c r="BH407" s="441">
        <v>0</v>
      </c>
      <c r="BI407" s="441">
        <v>0</v>
      </c>
      <c r="BJ407" s="441">
        <v>0</v>
      </c>
      <c r="BK407" s="441" t="s">
        <v>797</v>
      </c>
      <c r="BL407" s="89" t="s">
        <v>797</v>
      </c>
      <c r="BM407" s="441"/>
      <c r="BN407" s="441"/>
      <c r="BO407" s="89" t="s">
        <v>797</v>
      </c>
      <c r="BP407" s="441"/>
      <c r="BQ407" s="441"/>
      <c r="BR407" s="441"/>
      <c r="BS407" s="95">
        <f t="shared" si="12"/>
        <v>750</v>
      </c>
      <c r="BT407" s="95">
        <f t="shared" si="12"/>
        <v>300</v>
      </c>
      <c r="BU407" s="95">
        <f t="shared" si="13"/>
        <v>0</v>
      </c>
      <c r="BV407" s="95">
        <f t="shared" si="13"/>
        <v>0</v>
      </c>
      <c r="BW407" s="95">
        <f t="shared" si="13"/>
        <v>0</v>
      </c>
    </row>
    <row r="408" spans="1:75" ht="14.65" customHeight="1">
      <c r="A408" s="572" t="str">
        <f t="shared" si="10"/>
        <v>Paquete Telmex Negocio Ilimitado 3No Residencial</v>
      </c>
      <c r="B408" s="437">
        <f t="shared" si="11"/>
        <v>25</v>
      </c>
      <c r="C408" s="255" t="s">
        <v>207</v>
      </c>
      <c r="D408" s="438" t="s">
        <v>359</v>
      </c>
      <c r="E408" s="438" t="s">
        <v>796</v>
      </c>
      <c r="F408" s="89">
        <v>1932.69</v>
      </c>
      <c r="G408" s="89">
        <v>2289</v>
      </c>
      <c r="H408" s="89">
        <v>6</v>
      </c>
      <c r="I408" s="89" t="s">
        <v>950</v>
      </c>
      <c r="J408" s="89" t="s">
        <v>950</v>
      </c>
      <c r="K408" s="89" t="s">
        <v>956</v>
      </c>
      <c r="L408" s="89" t="s">
        <v>956</v>
      </c>
      <c r="M408" s="89">
        <v>5</v>
      </c>
      <c r="N408" s="89" t="s">
        <v>957</v>
      </c>
      <c r="O408" s="89" t="s">
        <v>979</v>
      </c>
      <c r="P408" s="89" t="s">
        <v>1010</v>
      </c>
      <c r="Q408" s="475" t="s">
        <v>797</v>
      </c>
      <c r="R408" s="89"/>
      <c r="S408" s="89"/>
      <c r="T408" s="89"/>
      <c r="U408" s="89" t="s">
        <v>797</v>
      </c>
      <c r="V408" s="89"/>
      <c r="W408" s="89"/>
      <c r="X408" s="89" t="s">
        <v>948</v>
      </c>
      <c r="Y408" s="89"/>
      <c r="Z408" s="89"/>
      <c r="AA408" s="89" t="s">
        <v>797</v>
      </c>
      <c r="AB408" s="89"/>
      <c r="AC408" s="89"/>
      <c r="AD408" s="89" t="s">
        <v>797</v>
      </c>
      <c r="AE408" s="89"/>
      <c r="AF408" s="89"/>
      <c r="AG408" s="89" t="s">
        <v>949</v>
      </c>
      <c r="AH408" s="89"/>
      <c r="AI408" s="89"/>
      <c r="AJ408" s="89" t="s">
        <v>984</v>
      </c>
      <c r="AK408" s="89"/>
      <c r="AL408" s="89" t="s">
        <v>985</v>
      </c>
      <c r="AM408" s="89"/>
      <c r="AN408" s="89" t="s">
        <v>986</v>
      </c>
      <c r="AO408" s="89" t="s">
        <v>987</v>
      </c>
      <c r="AP408" s="89" t="s">
        <v>988</v>
      </c>
      <c r="AQ408" s="89"/>
      <c r="AR408" s="89" t="s">
        <v>993</v>
      </c>
      <c r="AS408" s="89" t="s">
        <v>992</v>
      </c>
      <c r="AT408" s="89" t="s">
        <v>991</v>
      </c>
      <c r="AU408" s="89" t="s">
        <v>955</v>
      </c>
      <c r="AV408" s="89"/>
      <c r="AW408" s="89"/>
      <c r="AX408" s="89"/>
      <c r="AY408" s="89"/>
      <c r="AZ408" s="89"/>
      <c r="BA408" s="89" t="s">
        <v>797</v>
      </c>
      <c r="BB408" s="441"/>
      <c r="BC408" s="441"/>
      <c r="BD408" s="89" t="s">
        <v>797</v>
      </c>
      <c r="BE408" s="89" t="s">
        <v>948</v>
      </c>
      <c r="BF408" s="441">
        <v>0</v>
      </c>
      <c r="BG408" s="441">
        <v>0</v>
      </c>
      <c r="BH408" s="441">
        <v>0</v>
      </c>
      <c r="BI408" s="441">
        <v>0</v>
      </c>
      <c r="BJ408" s="441">
        <v>0</v>
      </c>
      <c r="BK408" s="441" t="s">
        <v>797</v>
      </c>
      <c r="BL408" s="89" t="s">
        <v>797</v>
      </c>
      <c r="BM408" s="441"/>
      <c r="BN408" s="441"/>
      <c r="BO408" s="89" t="s">
        <v>797</v>
      </c>
      <c r="BP408" s="441"/>
      <c r="BQ408" s="441"/>
      <c r="BR408" s="441"/>
      <c r="BS408" s="95">
        <f t="shared" si="12"/>
        <v>1000</v>
      </c>
      <c r="BT408" s="95">
        <f t="shared" si="12"/>
        <v>300</v>
      </c>
      <c r="BU408" s="95">
        <f t="shared" si="13"/>
        <v>0</v>
      </c>
      <c r="BV408" s="95">
        <f t="shared" si="13"/>
        <v>0</v>
      </c>
      <c r="BW408" s="95">
        <f t="shared" si="13"/>
        <v>0</v>
      </c>
    </row>
    <row r="409" spans="1:75" ht="14.65" customHeight="1">
      <c r="A409" s="572" t="str">
        <f t="shared" si="10"/>
        <v>Infinitum 299 NNo Residencial</v>
      </c>
      <c r="B409" s="437">
        <f t="shared" si="11"/>
        <v>26</v>
      </c>
      <c r="C409" s="126" t="s">
        <v>188</v>
      </c>
      <c r="D409" s="438" t="s">
        <v>359</v>
      </c>
      <c r="E409" s="438" t="s">
        <v>798</v>
      </c>
      <c r="F409" s="89">
        <v>257.76</v>
      </c>
      <c r="G409" s="89">
        <v>299</v>
      </c>
      <c r="H409" s="89"/>
      <c r="I409" s="89"/>
      <c r="J409" s="89"/>
      <c r="K409" s="89"/>
      <c r="L409" s="89"/>
      <c r="M409" s="89"/>
      <c r="N409" s="89"/>
      <c r="O409" s="89" t="s">
        <v>972</v>
      </c>
      <c r="P409" s="89" t="s">
        <v>980</v>
      </c>
      <c r="Q409" s="475" t="s">
        <v>797</v>
      </c>
      <c r="R409" s="89"/>
      <c r="S409" s="89"/>
      <c r="T409" s="89"/>
      <c r="U409" s="89" t="s">
        <v>797</v>
      </c>
      <c r="V409" s="89"/>
      <c r="W409" s="89"/>
      <c r="X409" s="89" t="s">
        <v>948</v>
      </c>
      <c r="Y409" s="89"/>
      <c r="Z409" s="89"/>
      <c r="AA409" s="89" t="s">
        <v>797</v>
      </c>
      <c r="AB409" s="89"/>
      <c r="AC409" s="89"/>
      <c r="AD409" s="89" t="s">
        <v>797</v>
      </c>
      <c r="AE409" s="89"/>
      <c r="AF409" s="89"/>
      <c r="AG409" s="89" t="s">
        <v>949</v>
      </c>
      <c r="AH409" s="89"/>
      <c r="AI409" s="89"/>
      <c r="AJ409" s="89"/>
      <c r="AK409" s="89"/>
      <c r="AL409" s="89"/>
      <c r="AM409" s="89"/>
      <c r="AN409" s="89"/>
      <c r="AO409" s="89"/>
      <c r="AP409" s="89"/>
      <c r="AQ409" s="89"/>
      <c r="AR409" s="89"/>
      <c r="AS409" s="89"/>
      <c r="AT409" s="89"/>
      <c r="AU409" s="89"/>
      <c r="AV409" s="89"/>
      <c r="AW409" s="89"/>
      <c r="AX409" s="89"/>
      <c r="AY409" s="89"/>
      <c r="AZ409" s="89"/>
      <c r="BA409" s="89" t="s">
        <v>797</v>
      </c>
      <c r="BB409" s="441"/>
      <c r="BC409" s="441"/>
      <c r="BD409" s="89" t="s">
        <v>797</v>
      </c>
      <c r="BE409" s="89" t="s">
        <v>948</v>
      </c>
      <c r="BF409" s="441">
        <v>0</v>
      </c>
      <c r="BG409" s="441">
        <v>0</v>
      </c>
      <c r="BH409" s="441">
        <v>0</v>
      </c>
      <c r="BI409" s="441">
        <v>0</v>
      </c>
      <c r="BJ409" s="441">
        <v>0</v>
      </c>
      <c r="BK409" s="441" t="s">
        <v>797</v>
      </c>
      <c r="BL409" s="89" t="s">
        <v>797</v>
      </c>
      <c r="BM409" s="441"/>
      <c r="BN409" s="441"/>
      <c r="BO409" s="89" t="s">
        <v>797</v>
      </c>
      <c r="BP409" s="441"/>
      <c r="BQ409" s="441"/>
      <c r="BR409" s="441"/>
      <c r="BS409" s="95">
        <f t="shared" si="12"/>
        <v>40</v>
      </c>
      <c r="BT409" s="95">
        <f t="shared" si="12"/>
        <v>5</v>
      </c>
      <c r="BU409" s="95">
        <f t="shared" si="13"/>
        <v>0</v>
      </c>
      <c r="BV409" s="95">
        <f t="shared" si="13"/>
        <v>0</v>
      </c>
      <c r="BW409" s="95">
        <f t="shared" si="13"/>
        <v>0</v>
      </c>
    </row>
    <row r="410" spans="1:75" ht="14.65" customHeight="1">
      <c r="A410" s="572" t="str">
        <f t="shared" si="10"/>
        <v>Infinitum Negocio 349No Residencial</v>
      </c>
      <c r="B410" s="437">
        <f t="shared" si="11"/>
        <v>27</v>
      </c>
      <c r="C410" s="255" t="s">
        <v>190</v>
      </c>
      <c r="D410" s="438" t="s">
        <v>359</v>
      </c>
      <c r="E410" s="438" t="s">
        <v>798</v>
      </c>
      <c r="F410" s="89">
        <v>300.86</v>
      </c>
      <c r="G410" s="89">
        <v>348.99759999999998</v>
      </c>
      <c r="H410" s="89"/>
      <c r="I410" s="89"/>
      <c r="J410" s="89"/>
      <c r="K410" s="89"/>
      <c r="L410" s="89"/>
      <c r="M410" s="89"/>
      <c r="N410" s="89"/>
      <c r="O410" s="89" t="s">
        <v>981</v>
      </c>
      <c r="P410" s="89" t="s">
        <v>983</v>
      </c>
      <c r="Q410" s="475" t="s">
        <v>960</v>
      </c>
      <c r="R410" s="89">
        <v>6</v>
      </c>
      <c r="S410" s="89">
        <v>60</v>
      </c>
      <c r="T410" s="89">
        <v>60</v>
      </c>
      <c r="U410" s="89" t="s">
        <v>797</v>
      </c>
      <c r="V410" s="89"/>
      <c r="W410" s="89"/>
      <c r="X410" s="89" t="s">
        <v>948</v>
      </c>
      <c r="Y410" s="89"/>
      <c r="Z410" s="89"/>
      <c r="AA410" s="89" t="s">
        <v>797</v>
      </c>
      <c r="AB410" s="89"/>
      <c r="AC410" s="89"/>
      <c r="AD410" s="89" t="s">
        <v>797</v>
      </c>
      <c r="AE410" s="89"/>
      <c r="AF410" s="89"/>
      <c r="AG410" s="89" t="s">
        <v>949</v>
      </c>
      <c r="AH410" s="89"/>
      <c r="AI410" s="89"/>
      <c r="AJ410" s="89" t="s">
        <v>984</v>
      </c>
      <c r="AK410" s="89"/>
      <c r="AL410" s="89" t="s">
        <v>985</v>
      </c>
      <c r="AM410" s="89"/>
      <c r="AN410" s="89" t="s">
        <v>986</v>
      </c>
      <c r="AO410" s="89"/>
      <c r="AP410" s="89"/>
      <c r="AQ410" s="89"/>
      <c r="AR410" s="89"/>
      <c r="AS410" s="89"/>
      <c r="AT410" s="89"/>
      <c r="AU410" s="89" t="s">
        <v>955</v>
      </c>
      <c r="AV410" s="89"/>
      <c r="AW410" s="89"/>
      <c r="AX410" s="89"/>
      <c r="AY410" s="89"/>
      <c r="AZ410" s="89"/>
      <c r="BA410" s="89" t="s">
        <v>797</v>
      </c>
      <c r="BB410" s="441"/>
      <c r="BC410" s="441"/>
      <c r="BD410" s="89" t="s">
        <v>797</v>
      </c>
      <c r="BE410" s="89" t="s">
        <v>948</v>
      </c>
      <c r="BF410" s="441">
        <v>0</v>
      </c>
      <c r="BG410" s="441">
        <v>0</v>
      </c>
      <c r="BH410" s="441">
        <v>0</v>
      </c>
      <c r="BI410" s="441">
        <v>0</v>
      </c>
      <c r="BJ410" s="441">
        <v>0</v>
      </c>
      <c r="BK410" s="441" t="s">
        <v>797</v>
      </c>
      <c r="BL410" s="89" t="s">
        <v>797</v>
      </c>
      <c r="BM410" s="441"/>
      <c r="BN410" s="441"/>
      <c r="BO410" s="89" t="s">
        <v>797</v>
      </c>
      <c r="BP410" s="441"/>
      <c r="BQ410" s="441"/>
      <c r="BR410" s="441"/>
      <c r="BS410" s="95">
        <f t="shared" si="12"/>
        <v>60</v>
      </c>
      <c r="BT410" s="95">
        <f t="shared" si="12"/>
        <v>10</v>
      </c>
      <c r="BU410" s="95">
        <f t="shared" si="13"/>
        <v>6</v>
      </c>
      <c r="BV410" s="95">
        <f t="shared" si="13"/>
        <v>60</v>
      </c>
      <c r="BW410" s="95">
        <f t="shared" si="13"/>
        <v>60</v>
      </c>
    </row>
    <row r="411" spans="1:75" ht="14.65" customHeight="1">
      <c r="A411" s="572" t="str">
        <f t="shared" si="10"/>
        <v>Infinitum Negocio 399No Residencial</v>
      </c>
      <c r="B411" s="437">
        <f t="shared" si="11"/>
        <v>28</v>
      </c>
      <c r="C411" s="255" t="s">
        <v>192</v>
      </c>
      <c r="D411" s="438" t="s">
        <v>359</v>
      </c>
      <c r="E411" s="438" t="s">
        <v>798</v>
      </c>
      <c r="F411" s="89">
        <v>343.97</v>
      </c>
      <c r="G411" s="89">
        <v>398.99520000000001</v>
      </c>
      <c r="H411" s="89"/>
      <c r="I411" s="89"/>
      <c r="J411" s="89"/>
      <c r="K411" s="89"/>
      <c r="L411" s="89"/>
      <c r="M411" s="89"/>
      <c r="N411" s="89"/>
      <c r="O411" s="89" t="s">
        <v>1009</v>
      </c>
      <c r="P411" s="89" t="s">
        <v>958</v>
      </c>
      <c r="Q411" s="475" t="s">
        <v>960</v>
      </c>
      <c r="R411" s="89">
        <v>6</v>
      </c>
      <c r="S411" s="89">
        <v>80</v>
      </c>
      <c r="T411" s="89">
        <v>80</v>
      </c>
      <c r="U411" s="89" t="s">
        <v>797</v>
      </c>
      <c r="V411" s="89"/>
      <c r="W411" s="89"/>
      <c r="X411" s="89" t="s">
        <v>948</v>
      </c>
      <c r="Y411" s="89"/>
      <c r="Z411" s="89"/>
      <c r="AA411" s="89" t="s">
        <v>797</v>
      </c>
      <c r="AB411" s="89"/>
      <c r="AC411" s="89"/>
      <c r="AD411" s="89" t="s">
        <v>797</v>
      </c>
      <c r="AE411" s="89"/>
      <c r="AF411" s="89"/>
      <c r="AG411" s="89" t="s">
        <v>949</v>
      </c>
      <c r="AH411" s="89"/>
      <c r="AI411" s="89"/>
      <c r="AJ411" s="89" t="s">
        <v>984</v>
      </c>
      <c r="AK411" s="89"/>
      <c r="AL411" s="89" t="s">
        <v>985</v>
      </c>
      <c r="AM411" s="89"/>
      <c r="AN411" s="89" t="s">
        <v>986</v>
      </c>
      <c r="AO411" s="89"/>
      <c r="AP411" s="89"/>
      <c r="AQ411" s="89"/>
      <c r="AR411" s="89"/>
      <c r="AS411" s="89"/>
      <c r="AT411" s="89"/>
      <c r="AU411" s="89" t="s">
        <v>955</v>
      </c>
      <c r="AV411" s="89"/>
      <c r="AW411" s="89"/>
      <c r="AX411" s="89"/>
      <c r="AY411" s="89"/>
      <c r="AZ411" s="89"/>
      <c r="BA411" s="89" t="s">
        <v>797</v>
      </c>
      <c r="BB411" s="441"/>
      <c r="BC411" s="441"/>
      <c r="BD411" s="89" t="s">
        <v>797</v>
      </c>
      <c r="BE411" s="89" t="s">
        <v>948</v>
      </c>
      <c r="BF411" s="441">
        <v>0</v>
      </c>
      <c r="BG411" s="441">
        <v>0</v>
      </c>
      <c r="BH411" s="441">
        <v>0</v>
      </c>
      <c r="BI411" s="441">
        <v>0</v>
      </c>
      <c r="BJ411" s="441">
        <v>0</v>
      </c>
      <c r="BK411" s="441" t="s">
        <v>797</v>
      </c>
      <c r="BL411" s="89" t="s">
        <v>797</v>
      </c>
      <c r="BM411" s="441"/>
      <c r="BN411" s="441"/>
      <c r="BO411" s="89" t="s">
        <v>797</v>
      </c>
      <c r="BP411" s="441"/>
      <c r="BQ411" s="441"/>
      <c r="BR411" s="441"/>
      <c r="BS411" s="95">
        <f t="shared" si="12"/>
        <v>80</v>
      </c>
      <c r="BT411" s="95">
        <f t="shared" si="12"/>
        <v>20</v>
      </c>
      <c r="BU411" s="95">
        <f t="shared" si="13"/>
        <v>6</v>
      </c>
      <c r="BV411" s="95">
        <f t="shared" si="13"/>
        <v>80</v>
      </c>
      <c r="BW411" s="95">
        <f t="shared" si="13"/>
        <v>80</v>
      </c>
    </row>
    <row r="412" spans="1:75" ht="14.65" customHeight="1">
      <c r="A412" s="572" t="str">
        <f t="shared" si="10"/>
        <v>Infinitum Negocio 449No Residencial</v>
      </c>
      <c r="B412" s="437">
        <f t="shared" si="11"/>
        <v>29</v>
      </c>
      <c r="C412" s="255" t="s">
        <v>193</v>
      </c>
      <c r="D412" s="438" t="s">
        <v>359</v>
      </c>
      <c r="E412" s="438" t="s">
        <v>798</v>
      </c>
      <c r="F412" s="89">
        <v>387.07</v>
      </c>
      <c r="G412" s="89">
        <v>449</v>
      </c>
      <c r="H412" s="89"/>
      <c r="I412" s="89"/>
      <c r="J412" s="89"/>
      <c r="K412" s="89"/>
      <c r="L412" s="89"/>
      <c r="M412" s="89"/>
      <c r="N412" s="89"/>
      <c r="O412" s="89" t="s">
        <v>982</v>
      </c>
      <c r="P412" s="89" t="s">
        <v>958</v>
      </c>
      <c r="Q412" s="475" t="s">
        <v>960</v>
      </c>
      <c r="R412" s="89">
        <v>6</v>
      </c>
      <c r="S412" s="89">
        <v>150</v>
      </c>
      <c r="T412" s="89">
        <v>150</v>
      </c>
      <c r="U412" s="89" t="s">
        <v>797</v>
      </c>
      <c r="V412" s="89"/>
      <c r="W412" s="89"/>
      <c r="X412" s="89" t="s">
        <v>948</v>
      </c>
      <c r="Y412" s="89"/>
      <c r="Z412" s="89"/>
      <c r="AA412" s="89" t="s">
        <v>797</v>
      </c>
      <c r="AB412" s="89"/>
      <c r="AC412" s="89"/>
      <c r="AD412" s="89" t="s">
        <v>797</v>
      </c>
      <c r="AE412" s="89"/>
      <c r="AF412" s="89"/>
      <c r="AG412" s="89" t="s">
        <v>949</v>
      </c>
      <c r="AH412" s="89"/>
      <c r="AI412" s="89"/>
      <c r="AJ412" s="89" t="s">
        <v>984</v>
      </c>
      <c r="AK412" s="89"/>
      <c r="AL412" s="89" t="s">
        <v>985</v>
      </c>
      <c r="AM412" s="89"/>
      <c r="AN412" s="89" t="s">
        <v>986</v>
      </c>
      <c r="AO412" s="89"/>
      <c r="AP412" s="89"/>
      <c r="AQ412" s="89"/>
      <c r="AR412" s="89"/>
      <c r="AS412" s="89"/>
      <c r="AT412" s="89"/>
      <c r="AU412" s="89" t="s">
        <v>955</v>
      </c>
      <c r="AV412" s="89"/>
      <c r="AW412" s="89"/>
      <c r="AX412" s="89"/>
      <c r="AY412" s="89"/>
      <c r="AZ412" s="89"/>
      <c r="BA412" s="89" t="s">
        <v>797</v>
      </c>
      <c r="BB412" s="441"/>
      <c r="BC412" s="441"/>
      <c r="BD412" s="89" t="s">
        <v>797</v>
      </c>
      <c r="BE412" s="89" t="s">
        <v>948</v>
      </c>
      <c r="BF412" s="441">
        <v>0</v>
      </c>
      <c r="BG412" s="441">
        <v>0</v>
      </c>
      <c r="BH412" s="441">
        <v>0</v>
      </c>
      <c r="BI412" s="441">
        <v>0</v>
      </c>
      <c r="BJ412" s="441">
        <v>0</v>
      </c>
      <c r="BK412" s="441" t="s">
        <v>797</v>
      </c>
      <c r="BL412" s="89" t="s">
        <v>797</v>
      </c>
      <c r="BM412" s="441"/>
      <c r="BN412" s="441"/>
      <c r="BO412" s="89" t="s">
        <v>797</v>
      </c>
      <c r="BP412" s="441"/>
      <c r="BQ412" s="441"/>
      <c r="BR412" s="441"/>
      <c r="BS412" s="95">
        <f t="shared" si="12"/>
        <v>100</v>
      </c>
      <c r="BT412" s="95">
        <f t="shared" si="12"/>
        <v>20</v>
      </c>
      <c r="BU412" s="95">
        <f t="shared" si="13"/>
        <v>6</v>
      </c>
      <c r="BV412" s="95">
        <f t="shared" si="13"/>
        <v>150</v>
      </c>
      <c r="BW412" s="95">
        <f t="shared" si="13"/>
        <v>150</v>
      </c>
    </row>
    <row r="413" spans="1:75" ht="14.65" customHeight="1">
      <c r="A413" s="572" t="str">
        <f t="shared" si="10"/>
        <v>Infinitum Negocio 549No Residencial</v>
      </c>
      <c r="B413" s="437">
        <f t="shared" si="11"/>
        <v>30</v>
      </c>
      <c r="C413" s="255" t="s">
        <v>194</v>
      </c>
      <c r="D413" s="438" t="s">
        <v>359</v>
      </c>
      <c r="E413" s="438" t="s">
        <v>798</v>
      </c>
      <c r="F413" s="89">
        <v>473.28</v>
      </c>
      <c r="G413" s="89">
        <v>549</v>
      </c>
      <c r="H413" s="89"/>
      <c r="I413" s="89"/>
      <c r="J413" s="89"/>
      <c r="K413" s="89"/>
      <c r="L413" s="89"/>
      <c r="M413" s="89"/>
      <c r="N413" s="89"/>
      <c r="O413" s="89" t="s">
        <v>976</v>
      </c>
      <c r="P413" s="89" t="s">
        <v>977</v>
      </c>
      <c r="Q413" s="475" t="s">
        <v>960</v>
      </c>
      <c r="R413" s="89">
        <v>6</v>
      </c>
      <c r="S413" s="89">
        <v>350</v>
      </c>
      <c r="T413" s="89">
        <v>350</v>
      </c>
      <c r="U413" s="89" t="s">
        <v>797</v>
      </c>
      <c r="V413" s="89"/>
      <c r="W413" s="89"/>
      <c r="X413" s="89" t="s">
        <v>948</v>
      </c>
      <c r="Y413" s="89"/>
      <c r="Z413" s="89"/>
      <c r="AA413" s="89" t="s">
        <v>797</v>
      </c>
      <c r="AB413" s="89"/>
      <c r="AC413" s="89"/>
      <c r="AD413" s="89" t="s">
        <v>797</v>
      </c>
      <c r="AE413" s="89"/>
      <c r="AF413" s="89"/>
      <c r="AG413" s="89" t="s">
        <v>949</v>
      </c>
      <c r="AH413" s="89"/>
      <c r="AI413" s="89"/>
      <c r="AJ413" s="89" t="s">
        <v>984</v>
      </c>
      <c r="AK413" s="89"/>
      <c r="AL413" s="89" t="s">
        <v>985</v>
      </c>
      <c r="AM413" s="89"/>
      <c r="AN413" s="89" t="s">
        <v>986</v>
      </c>
      <c r="AO413" s="89"/>
      <c r="AP413" s="89"/>
      <c r="AQ413" s="89"/>
      <c r="AR413" s="89"/>
      <c r="AS413" s="89"/>
      <c r="AT413" s="89"/>
      <c r="AU413" s="89" t="s">
        <v>955</v>
      </c>
      <c r="AV413" s="89"/>
      <c r="AW413" s="89"/>
      <c r="AX413" s="89"/>
      <c r="AY413" s="89"/>
      <c r="AZ413" s="89"/>
      <c r="BA413" s="89" t="s">
        <v>797</v>
      </c>
      <c r="BB413" s="441"/>
      <c r="BC413" s="441"/>
      <c r="BD413" s="89" t="s">
        <v>797</v>
      </c>
      <c r="BE413" s="89" t="s">
        <v>948</v>
      </c>
      <c r="BF413" s="441">
        <v>0</v>
      </c>
      <c r="BG413" s="441">
        <v>0</v>
      </c>
      <c r="BH413" s="441">
        <v>0</v>
      </c>
      <c r="BI413" s="441">
        <v>0</v>
      </c>
      <c r="BJ413" s="441">
        <v>0</v>
      </c>
      <c r="BK413" s="441" t="s">
        <v>797</v>
      </c>
      <c r="BL413" s="89" t="s">
        <v>797</v>
      </c>
      <c r="BM413" s="441"/>
      <c r="BN413" s="441"/>
      <c r="BO413" s="89" t="s">
        <v>797</v>
      </c>
      <c r="BP413" s="441"/>
      <c r="BQ413" s="441"/>
      <c r="BR413" s="441"/>
      <c r="BS413" s="95">
        <f t="shared" si="12"/>
        <v>200</v>
      </c>
      <c r="BT413" s="95">
        <f t="shared" si="12"/>
        <v>50</v>
      </c>
      <c r="BU413" s="95">
        <f t="shared" si="13"/>
        <v>6</v>
      </c>
      <c r="BV413" s="95">
        <f t="shared" si="13"/>
        <v>350</v>
      </c>
      <c r="BW413" s="95">
        <f t="shared" si="13"/>
        <v>350</v>
      </c>
    </row>
    <row r="414" spans="1:75" ht="14.65" customHeight="1">
      <c r="A414" s="572" t="str">
        <f t="shared" si="10"/>
        <v>Infinitum Negocio 899No Residencial</v>
      </c>
      <c r="B414" s="437">
        <f t="shared" si="11"/>
        <v>31</v>
      </c>
      <c r="C414" s="255" t="s">
        <v>196</v>
      </c>
      <c r="D414" s="438" t="s">
        <v>359</v>
      </c>
      <c r="E414" s="438" t="s">
        <v>798</v>
      </c>
      <c r="F414" s="89">
        <v>775</v>
      </c>
      <c r="G414" s="89">
        <v>898.99999999999989</v>
      </c>
      <c r="H414" s="89"/>
      <c r="I414" s="89"/>
      <c r="J414" s="89"/>
      <c r="K414" s="89"/>
      <c r="L414" s="89"/>
      <c r="M414" s="89"/>
      <c r="N414" s="89"/>
      <c r="O414" s="89" t="s">
        <v>994</v>
      </c>
      <c r="P414" s="89" t="s">
        <v>1010</v>
      </c>
      <c r="Q414" s="475" t="s">
        <v>797</v>
      </c>
      <c r="R414" s="89"/>
      <c r="S414" s="89"/>
      <c r="T414" s="89"/>
      <c r="U414" s="89" t="s">
        <v>797</v>
      </c>
      <c r="V414" s="89"/>
      <c r="W414" s="89"/>
      <c r="X414" s="89" t="s">
        <v>948</v>
      </c>
      <c r="Y414" s="89"/>
      <c r="Z414" s="89"/>
      <c r="AA414" s="89" t="s">
        <v>797</v>
      </c>
      <c r="AB414" s="89"/>
      <c r="AC414" s="89"/>
      <c r="AD414" s="89" t="s">
        <v>797</v>
      </c>
      <c r="AE414" s="89"/>
      <c r="AF414" s="89"/>
      <c r="AG414" s="89" t="s">
        <v>949</v>
      </c>
      <c r="AH414" s="89"/>
      <c r="AI414" s="89"/>
      <c r="AJ414" s="89" t="s">
        <v>984</v>
      </c>
      <c r="AK414" s="89"/>
      <c r="AL414" s="89" t="s">
        <v>985</v>
      </c>
      <c r="AM414" s="89"/>
      <c r="AN414" s="89" t="s">
        <v>986</v>
      </c>
      <c r="AO414" s="89"/>
      <c r="AP414" s="89"/>
      <c r="AQ414" s="89"/>
      <c r="AR414" s="89"/>
      <c r="AS414" s="89"/>
      <c r="AT414" s="89"/>
      <c r="AU414" s="89" t="s">
        <v>955</v>
      </c>
      <c r="AV414" s="89"/>
      <c r="AW414" s="89"/>
      <c r="AX414" s="89"/>
      <c r="AY414" s="89"/>
      <c r="AZ414" s="89"/>
      <c r="BA414" s="89" t="s">
        <v>797</v>
      </c>
      <c r="BB414" s="441"/>
      <c r="BC414" s="441"/>
      <c r="BD414" s="89" t="s">
        <v>797</v>
      </c>
      <c r="BE414" s="89" t="s">
        <v>948</v>
      </c>
      <c r="BF414" s="441">
        <v>0</v>
      </c>
      <c r="BG414" s="441">
        <v>0</v>
      </c>
      <c r="BH414" s="441">
        <v>0</v>
      </c>
      <c r="BI414" s="441">
        <v>0</v>
      </c>
      <c r="BJ414" s="441">
        <v>0</v>
      </c>
      <c r="BK414" s="441" t="s">
        <v>797</v>
      </c>
      <c r="BL414" s="89" t="s">
        <v>797</v>
      </c>
      <c r="BM414" s="441"/>
      <c r="BN414" s="441"/>
      <c r="BO414" s="89" t="s">
        <v>797</v>
      </c>
      <c r="BP414" s="441"/>
      <c r="BQ414" s="441"/>
      <c r="BR414" s="441"/>
      <c r="BS414" s="95">
        <f t="shared" si="12"/>
        <v>750</v>
      </c>
      <c r="BT414" s="95">
        <f t="shared" si="12"/>
        <v>300</v>
      </c>
      <c r="BU414" s="95">
        <f t="shared" si="13"/>
        <v>0</v>
      </c>
      <c r="BV414" s="95">
        <f t="shared" si="13"/>
        <v>0</v>
      </c>
      <c r="BW414" s="95">
        <f t="shared" si="13"/>
        <v>0</v>
      </c>
    </row>
    <row r="415" spans="1:75" ht="14.65" customHeight="1">
      <c r="A415" s="572" t="str">
        <f t="shared" si="10"/>
        <v>Infinitum NegocioNo Residencial</v>
      </c>
      <c r="B415" s="437">
        <f t="shared" si="11"/>
        <v>32</v>
      </c>
      <c r="C415" s="255" t="s">
        <v>198</v>
      </c>
      <c r="D415" s="438" t="s">
        <v>359</v>
      </c>
      <c r="E415" s="438" t="s">
        <v>798</v>
      </c>
      <c r="F415" s="89">
        <v>349</v>
      </c>
      <c r="G415" s="89">
        <v>404.84</v>
      </c>
      <c r="H415" s="89"/>
      <c r="I415" s="89"/>
      <c r="J415" s="89"/>
      <c r="K415" s="89"/>
      <c r="L415" s="89"/>
      <c r="M415" s="89"/>
      <c r="N415" s="89"/>
      <c r="O415" s="89" t="s">
        <v>967</v>
      </c>
      <c r="P415" s="89" t="s">
        <v>995</v>
      </c>
      <c r="Q415" s="475" t="s">
        <v>797</v>
      </c>
      <c r="R415" s="89"/>
      <c r="S415" s="89"/>
      <c r="T415" s="89"/>
      <c r="U415" s="89" t="s">
        <v>797</v>
      </c>
      <c r="V415" s="89"/>
      <c r="W415" s="89"/>
      <c r="X415" s="89" t="s">
        <v>948</v>
      </c>
      <c r="Y415" s="89"/>
      <c r="Z415" s="89"/>
      <c r="AA415" s="89" t="s">
        <v>797</v>
      </c>
      <c r="AB415" s="89"/>
      <c r="AC415" s="89"/>
      <c r="AD415" s="89" t="s">
        <v>797</v>
      </c>
      <c r="AE415" s="89"/>
      <c r="AF415" s="89"/>
      <c r="AG415" s="89" t="s">
        <v>949</v>
      </c>
      <c r="AH415" s="89"/>
      <c r="AI415" s="89"/>
      <c r="AJ415" s="89"/>
      <c r="AK415" s="89"/>
      <c r="AL415" s="89"/>
      <c r="AM415" s="89"/>
      <c r="AN415" s="89"/>
      <c r="AO415" s="89"/>
      <c r="AP415" s="89"/>
      <c r="AQ415" s="89"/>
      <c r="AR415" s="89"/>
      <c r="AS415" s="89"/>
      <c r="AT415" s="89"/>
      <c r="AU415" s="89"/>
      <c r="AV415" s="89"/>
      <c r="AW415" s="89"/>
      <c r="AX415" s="89"/>
      <c r="AY415" s="89"/>
      <c r="AZ415" s="89"/>
      <c r="BA415" s="89" t="s">
        <v>797</v>
      </c>
      <c r="BB415" s="441"/>
      <c r="BC415" s="441"/>
      <c r="BD415" s="89" t="s">
        <v>797</v>
      </c>
      <c r="BE415" s="89" t="s">
        <v>948</v>
      </c>
      <c r="BF415" s="441">
        <v>0</v>
      </c>
      <c r="BG415" s="441">
        <v>0</v>
      </c>
      <c r="BH415" s="441">
        <v>0</v>
      </c>
      <c r="BI415" s="441">
        <v>0</v>
      </c>
      <c r="BJ415" s="441">
        <v>0</v>
      </c>
      <c r="BK415" s="441" t="s">
        <v>797</v>
      </c>
      <c r="BL415" s="89" t="s">
        <v>797</v>
      </c>
      <c r="BM415" s="441"/>
      <c r="BN415" s="441"/>
      <c r="BO415" s="89" t="s">
        <v>797</v>
      </c>
      <c r="BP415" s="441"/>
      <c r="BQ415" s="441"/>
      <c r="BR415" s="441"/>
      <c r="BS415" s="95">
        <f t="shared" si="12"/>
        <v>30</v>
      </c>
      <c r="BT415" s="95">
        <f t="shared" si="12"/>
        <v>0.76800000000000002</v>
      </c>
      <c r="BU415" s="95">
        <f t="shared" si="13"/>
        <v>0</v>
      </c>
      <c r="BV415" s="95">
        <f t="shared" si="13"/>
        <v>0</v>
      </c>
      <c r="BW415" s="95">
        <f t="shared" si="13"/>
        <v>0</v>
      </c>
    </row>
    <row r="416" spans="1:75" ht="14.65" customHeight="1">
      <c r="A416" s="572" t="str">
        <f t="shared" si="10"/>
        <v>Infinitum Negocio RedNo Residencial</v>
      </c>
      <c r="B416" s="437">
        <f t="shared" si="11"/>
        <v>33</v>
      </c>
      <c r="C416" s="255" t="s">
        <v>200</v>
      </c>
      <c r="D416" s="438" t="s">
        <v>359</v>
      </c>
      <c r="E416" s="438" t="s">
        <v>798</v>
      </c>
      <c r="F416" s="89">
        <v>608.69000000000005</v>
      </c>
      <c r="G416" s="89">
        <v>706.08</v>
      </c>
      <c r="H416" s="89"/>
      <c r="I416" s="89"/>
      <c r="J416" s="89"/>
      <c r="K416" s="89"/>
      <c r="L416" s="89"/>
      <c r="M416" s="89"/>
      <c r="N416" s="89"/>
      <c r="O416" s="89" t="s">
        <v>977</v>
      </c>
      <c r="P416" s="89" t="s">
        <v>995</v>
      </c>
      <c r="Q416" s="475" t="s">
        <v>797</v>
      </c>
      <c r="R416" s="89"/>
      <c r="S416" s="89"/>
      <c r="T416" s="89"/>
      <c r="U416" s="89" t="s">
        <v>797</v>
      </c>
      <c r="V416" s="89"/>
      <c r="W416" s="89"/>
      <c r="X416" s="89" t="s">
        <v>948</v>
      </c>
      <c r="Y416" s="89"/>
      <c r="Z416" s="89"/>
      <c r="AA416" s="89" t="s">
        <v>797</v>
      </c>
      <c r="AB416" s="89"/>
      <c r="AC416" s="89"/>
      <c r="AD416" s="89" t="s">
        <v>797</v>
      </c>
      <c r="AE416" s="89"/>
      <c r="AF416" s="89"/>
      <c r="AG416" s="89" t="s">
        <v>949</v>
      </c>
      <c r="AH416" s="89"/>
      <c r="AI416" s="89"/>
      <c r="AJ416" s="89"/>
      <c r="AK416" s="89"/>
      <c r="AL416" s="89"/>
      <c r="AM416" s="89"/>
      <c r="AN416" s="89"/>
      <c r="AO416" s="89"/>
      <c r="AP416" s="89"/>
      <c r="AQ416" s="89"/>
      <c r="AR416" s="89"/>
      <c r="AS416" s="89"/>
      <c r="AT416" s="89"/>
      <c r="AU416" s="89"/>
      <c r="AV416" s="89"/>
      <c r="AW416" s="89"/>
      <c r="AX416" s="89"/>
      <c r="AY416" s="89"/>
      <c r="AZ416" s="89"/>
      <c r="BA416" s="89" t="s">
        <v>797</v>
      </c>
      <c r="BB416" s="441"/>
      <c r="BC416" s="441"/>
      <c r="BD416" s="89" t="s">
        <v>797</v>
      </c>
      <c r="BE416" s="89" t="s">
        <v>948</v>
      </c>
      <c r="BF416" s="441">
        <v>0</v>
      </c>
      <c r="BG416" s="441">
        <v>0</v>
      </c>
      <c r="BH416" s="441">
        <v>0</v>
      </c>
      <c r="BI416" s="441">
        <v>0</v>
      </c>
      <c r="BJ416" s="441">
        <v>0</v>
      </c>
      <c r="BK416" s="441" t="s">
        <v>797</v>
      </c>
      <c r="BL416" s="89" t="s">
        <v>797</v>
      </c>
      <c r="BM416" s="441"/>
      <c r="BN416" s="441"/>
      <c r="BO416" s="89" t="s">
        <v>797</v>
      </c>
      <c r="BP416" s="441"/>
      <c r="BQ416" s="441"/>
      <c r="BR416" s="441"/>
      <c r="BS416" s="95">
        <f t="shared" si="12"/>
        <v>50</v>
      </c>
      <c r="BT416" s="95">
        <f t="shared" si="12"/>
        <v>0.76800000000000002</v>
      </c>
      <c r="BU416" s="95">
        <f t="shared" si="13"/>
        <v>0</v>
      </c>
      <c r="BV416" s="95">
        <f t="shared" si="13"/>
        <v>0</v>
      </c>
      <c r="BW416" s="95">
        <f t="shared" si="13"/>
        <v>0</v>
      </c>
    </row>
    <row r="417" spans="1:75" ht="14.65" customHeight="1">
      <c r="A417" s="572" t="str">
        <f t="shared" si="10"/>
        <v>Infinitum Negocio PremiumNo Residencial</v>
      </c>
      <c r="B417" s="437">
        <f t="shared" si="11"/>
        <v>34</v>
      </c>
      <c r="C417" s="255" t="s">
        <v>202</v>
      </c>
      <c r="D417" s="438" t="s">
        <v>359</v>
      </c>
      <c r="E417" s="438" t="s">
        <v>798</v>
      </c>
      <c r="F417" s="89">
        <v>1042.5999999999999</v>
      </c>
      <c r="G417" s="89">
        <v>1209.42</v>
      </c>
      <c r="H417" s="89"/>
      <c r="I417" s="89"/>
      <c r="J417" s="89"/>
      <c r="K417" s="89"/>
      <c r="L417" s="89"/>
      <c r="M417" s="89"/>
      <c r="N417" s="89"/>
      <c r="O417" s="89" t="s">
        <v>982</v>
      </c>
      <c r="P417" s="89" t="s">
        <v>995</v>
      </c>
      <c r="Q417" s="475" t="s">
        <v>797</v>
      </c>
      <c r="R417" s="89"/>
      <c r="S417" s="89"/>
      <c r="T417" s="89"/>
      <c r="U417" s="89" t="s">
        <v>797</v>
      </c>
      <c r="V417" s="89"/>
      <c r="W417" s="89"/>
      <c r="X417" s="89" t="s">
        <v>948</v>
      </c>
      <c r="Y417" s="89"/>
      <c r="Z417" s="89"/>
      <c r="AA417" s="89" t="s">
        <v>797</v>
      </c>
      <c r="AB417" s="89"/>
      <c r="AC417" s="89"/>
      <c r="AD417" s="89" t="s">
        <v>797</v>
      </c>
      <c r="AE417" s="89"/>
      <c r="AF417" s="89"/>
      <c r="AG417" s="89" t="s">
        <v>949</v>
      </c>
      <c r="AH417" s="89"/>
      <c r="AI417" s="89"/>
      <c r="AJ417" s="89"/>
      <c r="AK417" s="89"/>
      <c r="AL417" s="89"/>
      <c r="AM417" s="89"/>
      <c r="AN417" s="89"/>
      <c r="AO417" s="89"/>
      <c r="AP417" s="89"/>
      <c r="AQ417" s="89"/>
      <c r="AR417" s="89"/>
      <c r="AS417" s="89"/>
      <c r="AT417" s="89"/>
      <c r="AU417" s="89"/>
      <c r="AV417" s="89"/>
      <c r="AW417" s="89"/>
      <c r="AX417" s="89"/>
      <c r="AY417" s="89"/>
      <c r="AZ417" s="89"/>
      <c r="BA417" s="89" t="s">
        <v>797</v>
      </c>
      <c r="BB417" s="441"/>
      <c r="BC417" s="441"/>
      <c r="BD417" s="89" t="s">
        <v>797</v>
      </c>
      <c r="BE417" s="89" t="s">
        <v>948</v>
      </c>
      <c r="BF417" s="441">
        <v>0</v>
      </c>
      <c r="BG417" s="441">
        <v>0</v>
      </c>
      <c r="BH417" s="441">
        <v>0</v>
      </c>
      <c r="BI417" s="441">
        <v>0</v>
      </c>
      <c r="BJ417" s="441">
        <v>0</v>
      </c>
      <c r="BK417" s="441" t="s">
        <v>797</v>
      </c>
      <c r="BL417" s="89" t="s">
        <v>797</v>
      </c>
      <c r="BM417" s="441"/>
      <c r="BN417" s="441"/>
      <c r="BO417" s="89" t="s">
        <v>797</v>
      </c>
      <c r="BP417" s="441"/>
      <c r="BQ417" s="441"/>
      <c r="BR417" s="441"/>
      <c r="BS417" s="95">
        <f t="shared" si="12"/>
        <v>100</v>
      </c>
      <c r="BT417" s="95">
        <f t="shared" si="12"/>
        <v>0.76800000000000002</v>
      </c>
      <c r="BU417" s="95">
        <f t="shared" si="13"/>
        <v>0</v>
      </c>
      <c r="BV417" s="95">
        <f t="shared" si="13"/>
        <v>0</v>
      </c>
      <c r="BW417" s="95">
        <f t="shared" si="13"/>
        <v>0</v>
      </c>
    </row>
    <row r="418" spans="1:75" ht="14.65" customHeight="1">
      <c r="B418" s="437">
        <f t="shared" si="11"/>
        <v>35</v>
      </c>
      <c r="C418" s="255" t="s">
        <v>518</v>
      </c>
      <c r="D418" s="438" t="s">
        <v>359</v>
      </c>
      <c r="E418" s="438" t="s">
        <v>796</v>
      </c>
      <c r="F418" s="89">
        <v>509.31</v>
      </c>
      <c r="G418" s="89">
        <v>599</v>
      </c>
      <c r="H418" s="89">
        <v>1</v>
      </c>
      <c r="I418" s="89" t="s">
        <v>950</v>
      </c>
      <c r="J418" s="89" t="s">
        <v>956</v>
      </c>
      <c r="K418" s="89" t="s">
        <v>956</v>
      </c>
      <c r="L418" s="89" t="s">
        <v>956</v>
      </c>
      <c r="M418" s="89">
        <v>5</v>
      </c>
      <c r="N418" s="89" t="s">
        <v>957</v>
      </c>
      <c r="O418" s="89" t="s">
        <v>958</v>
      </c>
      <c r="P418" s="89" t="s">
        <v>958</v>
      </c>
      <c r="Q418" s="475" t="s">
        <v>797</v>
      </c>
      <c r="R418" s="89"/>
      <c r="S418" s="89"/>
      <c r="T418" s="89"/>
      <c r="U418" s="89" t="s">
        <v>797</v>
      </c>
      <c r="V418" s="89"/>
      <c r="W418" s="89"/>
      <c r="X418" s="89" t="s">
        <v>948</v>
      </c>
      <c r="Y418" s="89"/>
      <c r="Z418" s="89"/>
      <c r="AA418" s="89" t="s">
        <v>797</v>
      </c>
      <c r="AB418" s="89"/>
      <c r="AC418" s="89"/>
      <c r="AD418" s="89" t="s">
        <v>797</v>
      </c>
      <c r="AE418" s="89"/>
      <c r="AF418" s="89"/>
      <c r="AG418" s="89" t="s">
        <v>949</v>
      </c>
      <c r="AH418" s="89"/>
      <c r="AI418" s="89"/>
      <c r="AJ418" s="89" t="s">
        <v>984</v>
      </c>
      <c r="AK418" s="89"/>
      <c r="AL418" s="89" t="s">
        <v>985</v>
      </c>
      <c r="AM418" s="89"/>
      <c r="AN418" s="89" t="s">
        <v>986</v>
      </c>
      <c r="AO418" s="89" t="s">
        <v>987</v>
      </c>
      <c r="AP418" s="89" t="s">
        <v>988</v>
      </c>
      <c r="AQ418" s="89"/>
      <c r="AR418" s="89" t="s">
        <v>990</v>
      </c>
      <c r="AS418" s="89"/>
      <c r="AT418" s="89" t="s">
        <v>991</v>
      </c>
      <c r="AU418" s="89" t="s">
        <v>955</v>
      </c>
      <c r="AV418" s="89"/>
      <c r="AW418" s="89"/>
      <c r="AX418" s="89"/>
      <c r="AY418" s="89"/>
      <c r="AZ418" s="89"/>
      <c r="BA418" s="89" t="s">
        <v>797</v>
      </c>
      <c r="BB418" s="441"/>
      <c r="BC418" s="441"/>
      <c r="BD418" s="89" t="s">
        <v>797</v>
      </c>
      <c r="BE418" s="89" t="s">
        <v>948</v>
      </c>
      <c r="BF418" s="441">
        <v>0</v>
      </c>
      <c r="BG418" s="441">
        <v>0</v>
      </c>
      <c r="BH418" s="441">
        <v>0</v>
      </c>
      <c r="BI418" s="441">
        <v>0</v>
      </c>
      <c r="BJ418" s="441">
        <v>0</v>
      </c>
      <c r="BK418" s="441" t="s">
        <v>797</v>
      </c>
      <c r="BL418" s="89" t="s">
        <v>797</v>
      </c>
      <c r="BM418" s="441"/>
      <c r="BN418" s="441"/>
      <c r="BO418" s="89" t="s">
        <v>797</v>
      </c>
      <c r="BP418" s="441"/>
      <c r="BQ418" s="441"/>
      <c r="BR418" s="441"/>
      <c r="BS418" s="95">
        <f t="shared" si="12"/>
        <v>20</v>
      </c>
      <c r="BT418" s="95">
        <f t="shared" si="12"/>
        <v>20</v>
      </c>
      <c r="BU418" s="95">
        <f t="shared" si="13"/>
        <v>0</v>
      </c>
      <c r="BV418" s="95">
        <f t="shared" si="13"/>
        <v>0</v>
      </c>
      <c r="BW418" s="95">
        <f t="shared" si="13"/>
        <v>0</v>
      </c>
    </row>
    <row r="419" spans="1:75" ht="14.65" customHeight="1">
      <c r="B419" s="437">
        <f t="shared" si="11"/>
        <v>36</v>
      </c>
      <c r="C419" s="255" t="s">
        <v>521</v>
      </c>
      <c r="D419" s="438" t="s">
        <v>359</v>
      </c>
      <c r="E419" s="438" t="s">
        <v>796</v>
      </c>
      <c r="F419" s="89">
        <v>679.07</v>
      </c>
      <c r="G419" s="89">
        <v>799</v>
      </c>
      <c r="H419" s="89">
        <v>2</v>
      </c>
      <c r="I419" s="89" t="s">
        <v>950</v>
      </c>
      <c r="J419" s="89" t="s">
        <v>950</v>
      </c>
      <c r="K419" s="89" t="s">
        <v>956</v>
      </c>
      <c r="L419" s="89" t="s">
        <v>956</v>
      </c>
      <c r="M419" s="89">
        <v>5</v>
      </c>
      <c r="N419" s="89" t="s">
        <v>957</v>
      </c>
      <c r="O419" s="89" t="s">
        <v>982</v>
      </c>
      <c r="P419" s="89" t="s">
        <v>982</v>
      </c>
      <c r="Q419" s="475" t="s">
        <v>797</v>
      </c>
      <c r="R419" s="89"/>
      <c r="S419" s="89"/>
      <c r="T419" s="89"/>
      <c r="U419" s="89" t="s">
        <v>797</v>
      </c>
      <c r="V419" s="89"/>
      <c r="W419" s="89"/>
      <c r="X419" s="89" t="s">
        <v>948</v>
      </c>
      <c r="Y419" s="89"/>
      <c r="Z419" s="89"/>
      <c r="AA419" s="89" t="s">
        <v>797</v>
      </c>
      <c r="AB419" s="89"/>
      <c r="AC419" s="89"/>
      <c r="AD419" s="89" t="s">
        <v>797</v>
      </c>
      <c r="AE419" s="89"/>
      <c r="AF419" s="89"/>
      <c r="AG419" s="89" t="s">
        <v>949</v>
      </c>
      <c r="AH419" s="89"/>
      <c r="AI419" s="89"/>
      <c r="AJ419" s="89" t="s">
        <v>984</v>
      </c>
      <c r="AK419" s="89"/>
      <c r="AL419" s="89" t="s">
        <v>985</v>
      </c>
      <c r="AM419" s="89"/>
      <c r="AN419" s="89" t="s">
        <v>986</v>
      </c>
      <c r="AO419" s="89" t="s">
        <v>987</v>
      </c>
      <c r="AP419" s="89" t="s">
        <v>988</v>
      </c>
      <c r="AQ419" s="89"/>
      <c r="AR419" s="89" t="s">
        <v>990</v>
      </c>
      <c r="AS419" s="89"/>
      <c r="AT419" s="89" t="s">
        <v>991</v>
      </c>
      <c r="AU419" s="89" t="s">
        <v>955</v>
      </c>
      <c r="AV419" s="89"/>
      <c r="AW419" s="89"/>
      <c r="AX419" s="89"/>
      <c r="AY419" s="89"/>
      <c r="AZ419" s="89"/>
      <c r="BA419" s="89" t="s">
        <v>797</v>
      </c>
      <c r="BB419" s="441"/>
      <c r="BC419" s="441"/>
      <c r="BD419" s="89" t="s">
        <v>797</v>
      </c>
      <c r="BE419" s="89" t="s">
        <v>948</v>
      </c>
      <c r="BF419" s="441">
        <v>0</v>
      </c>
      <c r="BG419" s="441">
        <v>0</v>
      </c>
      <c r="BH419" s="441">
        <v>0</v>
      </c>
      <c r="BI419" s="441">
        <v>0</v>
      </c>
      <c r="BJ419" s="441">
        <v>0</v>
      </c>
      <c r="BK419" s="441" t="s">
        <v>797</v>
      </c>
      <c r="BL419" s="89" t="s">
        <v>797</v>
      </c>
      <c r="BM419" s="441"/>
      <c r="BN419" s="441"/>
      <c r="BO419" s="89" t="s">
        <v>797</v>
      </c>
      <c r="BP419" s="441"/>
      <c r="BQ419" s="441"/>
      <c r="BR419" s="441"/>
      <c r="BS419" s="95">
        <f t="shared" si="12"/>
        <v>100</v>
      </c>
      <c r="BT419" s="95">
        <f t="shared" si="12"/>
        <v>100</v>
      </c>
      <c r="BU419" s="95">
        <f t="shared" si="13"/>
        <v>0</v>
      </c>
      <c r="BV419" s="95">
        <f t="shared" si="13"/>
        <v>0</v>
      </c>
      <c r="BW419" s="95">
        <f t="shared" si="13"/>
        <v>0</v>
      </c>
    </row>
    <row r="420" spans="1:75" ht="14.65" customHeight="1">
      <c r="B420" s="437">
        <f t="shared" si="11"/>
        <v>37</v>
      </c>
      <c r="C420" s="255" t="s">
        <v>744</v>
      </c>
      <c r="D420" s="438" t="s">
        <v>359</v>
      </c>
      <c r="E420" s="438" t="s">
        <v>796</v>
      </c>
      <c r="F420" s="89">
        <v>933.26</v>
      </c>
      <c r="G420" s="89">
        <v>1098.9992</v>
      </c>
      <c r="H420" s="89">
        <v>2</v>
      </c>
      <c r="I420" s="89" t="s">
        <v>950</v>
      </c>
      <c r="J420" s="89" t="s">
        <v>950</v>
      </c>
      <c r="K420" s="89" t="s">
        <v>956</v>
      </c>
      <c r="L420" s="89" t="s">
        <v>956</v>
      </c>
      <c r="M420" s="89">
        <v>5</v>
      </c>
      <c r="N420" s="89" t="s">
        <v>957</v>
      </c>
      <c r="O420" s="89" t="s">
        <v>976</v>
      </c>
      <c r="P420" s="89" t="s">
        <v>976</v>
      </c>
      <c r="Q420" s="475" t="s">
        <v>797</v>
      </c>
      <c r="R420" s="89">
        <v>6</v>
      </c>
      <c r="S420" s="89">
        <v>300</v>
      </c>
      <c r="T420" s="89">
        <v>300</v>
      </c>
      <c r="U420" s="89" t="s">
        <v>797</v>
      </c>
      <c r="V420" s="89"/>
      <c r="W420" s="89"/>
      <c r="X420" s="89" t="s">
        <v>948</v>
      </c>
      <c r="Y420" s="89"/>
      <c r="Z420" s="89"/>
      <c r="AA420" s="89" t="s">
        <v>797</v>
      </c>
      <c r="AB420" s="89"/>
      <c r="AC420" s="89"/>
      <c r="AD420" s="89" t="s">
        <v>797</v>
      </c>
      <c r="AE420" s="89"/>
      <c r="AF420" s="89"/>
      <c r="AG420" s="89" t="s">
        <v>949</v>
      </c>
      <c r="AH420" s="89"/>
      <c r="AI420" s="89"/>
      <c r="AJ420" s="89" t="s">
        <v>984</v>
      </c>
      <c r="AK420" s="89"/>
      <c r="AL420" s="89" t="s">
        <v>985</v>
      </c>
      <c r="AM420" s="89"/>
      <c r="AN420" s="89" t="s">
        <v>986</v>
      </c>
      <c r="AO420" s="89" t="s">
        <v>987</v>
      </c>
      <c r="AP420" s="89" t="s">
        <v>988</v>
      </c>
      <c r="AQ420" s="89"/>
      <c r="AR420" s="89" t="s">
        <v>990</v>
      </c>
      <c r="AS420" s="89" t="s">
        <v>992</v>
      </c>
      <c r="AT420" s="89" t="s">
        <v>991</v>
      </c>
      <c r="AU420" s="89" t="s">
        <v>955</v>
      </c>
      <c r="AV420" s="89"/>
      <c r="AW420" s="89"/>
      <c r="AX420" s="89"/>
      <c r="AY420" s="89"/>
      <c r="AZ420" s="89"/>
      <c r="BA420" s="89" t="s">
        <v>797</v>
      </c>
      <c r="BB420" s="441"/>
      <c r="BC420" s="441"/>
      <c r="BD420" s="89" t="s">
        <v>797</v>
      </c>
      <c r="BE420" s="89" t="s">
        <v>948</v>
      </c>
      <c r="BF420" s="441">
        <v>0</v>
      </c>
      <c r="BG420" s="441">
        <v>0</v>
      </c>
      <c r="BH420" s="441">
        <v>0</v>
      </c>
      <c r="BI420" s="441">
        <v>0</v>
      </c>
      <c r="BJ420" s="441">
        <v>0</v>
      </c>
      <c r="BK420" s="441" t="s">
        <v>797</v>
      </c>
      <c r="BL420" s="89" t="s">
        <v>797</v>
      </c>
      <c r="BM420" s="441"/>
      <c r="BN420" s="441"/>
      <c r="BO420" s="89" t="s">
        <v>797</v>
      </c>
      <c r="BP420" s="441"/>
      <c r="BQ420" s="441"/>
      <c r="BR420" s="441"/>
      <c r="BS420" s="95">
        <f t="shared" si="12"/>
        <v>200</v>
      </c>
      <c r="BT420" s="95">
        <f t="shared" si="12"/>
        <v>200</v>
      </c>
      <c r="BU420" s="95">
        <f t="shared" si="13"/>
        <v>6</v>
      </c>
      <c r="BV420" s="95">
        <f t="shared" si="13"/>
        <v>300</v>
      </c>
      <c r="BW420" s="95">
        <f t="shared" si="13"/>
        <v>300</v>
      </c>
    </row>
    <row r="421" spans="1:75" ht="14.65" customHeight="1">
      <c r="B421" s="437">
        <f t="shared" si="11"/>
        <v>38</v>
      </c>
      <c r="C421" s="255" t="s">
        <v>502</v>
      </c>
      <c r="D421" s="438" t="s">
        <v>359</v>
      </c>
      <c r="E421" s="438" t="s">
        <v>796</v>
      </c>
      <c r="F421" s="89">
        <v>1610.49</v>
      </c>
      <c r="G421" s="89">
        <v>1899.0028</v>
      </c>
      <c r="H421" s="89">
        <v>2</v>
      </c>
      <c r="I421" s="89" t="s">
        <v>950</v>
      </c>
      <c r="J421" s="89" t="s">
        <v>950</v>
      </c>
      <c r="K421" s="89" t="s">
        <v>956</v>
      </c>
      <c r="L421" s="89" t="s">
        <v>956</v>
      </c>
      <c r="M421" s="89">
        <v>5</v>
      </c>
      <c r="N421" s="89" t="s">
        <v>957</v>
      </c>
      <c r="O421" s="89" t="s">
        <v>994</v>
      </c>
      <c r="P421" s="89" t="s">
        <v>994</v>
      </c>
      <c r="Q421" s="475" t="s">
        <v>797</v>
      </c>
      <c r="R421" s="89"/>
      <c r="S421" s="89"/>
      <c r="T421" s="89"/>
      <c r="U421" s="89" t="s">
        <v>797</v>
      </c>
      <c r="V421" s="89"/>
      <c r="W421" s="89"/>
      <c r="X421" s="89" t="s">
        <v>948</v>
      </c>
      <c r="Y421" s="89"/>
      <c r="Z421" s="89"/>
      <c r="AA421" s="89" t="s">
        <v>797</v>
      </c>
      <c r="AB421" s="89"/>
      <c r="AC421" s="89"/>
      <c r="AD421" s="89" t="s">
        <v>797</v>
      </c>
      <c r="AE421" s="89"/>
      <c r="AF421" s="89"/>
      <c r="AG421" s="89" t="s">
        <v>949</v>
      </c>
      <c r="AH421" s="89"/>
      <c r="AI421" s="89"/>
      <c r="AJ421" s="89" t="s">
        <v>984</v>
      </c>
      <c r="AK421" s="89"/>
      <c r="AL421" s="89" t="s">
        <v>985</v>
      </c>
      <c r="AM421" s="89"/>
      <c r="AN421" s="89" t="s">
        <v>986</v>
      </c>
      <c r="AO421" s="89" t="s">
        <v>987</v>
      </c>
      <c r="AP421" s="89" t="s">
        <v>988</v>
      </c>
      <c r="AQ421" s="89"/>
      <c r="AR421" s="89" t="s">
        <v>993</v>
      </c>
      <c r="AS421" s="89" t="s">
        <v>992</v>
      </c>
      <c r="AT421" s="89" t="s">
        <v>991</v>
      </c>
      <c r="AU421" s="89" t="s">
        <v>955</v>
      </c>
      <c r="AV421" s="89"/>
      <c r="AW421" s="89"/>
      <c r="AX421" s="89"/>
      <c r="AY421" s="89"/>
      <c r="AZ421" s="89"/>
      <c r="BA421" s="89" t="s">
        <v>797</v>
      </c>
      <c r="BB421" s="441"/>
      <c r="BC421" s="441"/>
      <c r="BD421" s="89" t="s">
        <v>797</v>
      </c>
      <c r="BE421" s="89" t="s">
        <v>948</v>
      </c>
      <c r="BF421" s="441">
        <v>0</v>
      </c>
      <c r="BG421" s="441">
        <v>0</v>
      </c>
      <c r="BH421" s="441">
        <v>0</v>
      </c>
      <c r="BI421" s="441">
        <v>0</v>
      </c>
      <c r="BJ421" s="441">
        <v>0</v>
      </c>
      <c r="BK421" s="441" t="s">
        <v>797</v>
      </c>
      <c r="BL421" s="89" t="s">
        <v>797</v>
      </c>
      <c r="BM421" s="441"/>
      <c r="BN421" s="441"/>
      <c r="BO421" s="89" t="s">
        <v>797</v>
      </c>
      <c r="BP421" s="441"/>
      <c r="BQ421" s="441"/>
      <c r="BR421" s="441"/>
      <c r="BS421" s="95">
        <f t="shared" si="12"/>
        <v>750</v>
      </c>
      <c r="BT421" s="95">
        <f t="shared" si="12"/>
        <v>750</v>
      </c>
      <c r="BU421" s="95">
        <f t="shared" si="13"/>
        <v>0</v>
      </c>
      <c r="BV421" s="95">
        <f t="shared" si="13"/>
        <v>0</v>
      </c>
      <c r="BW421" s="95">
        <f t="shared" si="13"/>
        <v>0</v>
      </c>
    </row>
    <row r="422" spans="1:75" ht="14.65" customHeight="1">
      <c r="B422" s="437">
        <f t="shared" si="11"/>
        <v>39</v>
      </c>
      <c r="C422" s="255" t="s">
        <v>504</v>
      </c>
      <c r="D422" s="438" t="s">
        <v>359</v>
      </c>
      <c r="E422" s="438" t="s">
        <v>796</v>
      </c>
      <c r="F422" s="89">
        <v>1898.45</v>
      </c>
      <c r="G422" s="89">
        <v>2238.9987999999998</v>
      </c>
      <c r="H422" s="89">
        <v>4</v>
      </c>
      <c r="I422" s="89" t="s">
        <v>950</v>
      </c>
      <c r="J422" s="89" t="s">
        <v>950</v>
      </c>
      <c r="K422" s="89" t="s">
        <v>956</v>
      </c>
      <c r="L422" s="89" t="s">
        <v>956</v>
      </c>
      <c r="M422" s="89">
        <v>5</v>
      </c>
      <c r="N422" s="89" t="s">
        <v>957</v>
      </c>
      <c r="O422" s="89" t="s">
        <v>994</v>
      </c>
      <c r="P422" s="89" t="s">
        <v>994</v>
      </c>
      <c r="Q422" s="475" t="s">
        <v>797</v>
      </c>
      <c r="R422" s="89"/>
      <c r="S422" s="89"/>
      <c r="T422" s="89"/>
      <c r="U422" s="89" t="s">
        <v>797</v>
      </c>
      <c r="V422" s="89"/>
      <c r="W422" s="89"/>
      <c r="X422" s="89" t="s">
        <v>948</v>
      </c>
      <c r="Y422" s="89"/>
      <c r="Z422" s="89"/>
      <c r="AA422" s="89" t="s">
        <v>797</v>
      </c>
      <c r="AB422" s="89"/>
      <c r="AC422" s="89"/>
      <c r="AD422" s="89" t="s">
        <v>797</v>
      </c>
      <c r="AE422" s="89"/>
      <c r="AF422" s="89"/>
      <c r="AG422" s="89" t="s">
        <v>949</v>
      </c>
      <c r="AH422" s="89"/>
      <c r="AI422" s="89"/>
      <c r="AJ422" s="89" t="s">
        <v>984</v>
      </c>
      <c r="AK422" s="89"/>
      <c r="AL422" s="89" t="s">
        <v>985</v>
      </c>
      <c r="AM422" s="89"/>
      <c r="AN422" s="89" t="s">
        <v>986</v>
      </c>
      <c r="AO422" s="89" t="s">
        <v>987</v>
      </c>
      <c r="AP422" s="89" t="s">
        <v>988</v>
      </c>
      <c r="AQ422" s="89"/>
      <c r="AR422" s="89" t="s">
        <v>993</v>
      </c>
      <c r="AS422" s="89" t="s">
        <v>992</v>
      </c>
      <c r="AT422" s="89" t="s">
        <v>991</v>
      </c>
      <c r="AU422" s="89" t="s">
        <v>955</v>
      </c>
      <c r="AV422" s="89"/>
      <c r="AW422" s="89"/>
      <c r="AX422" s="89"/>
      <c r="AY422" s="89"/>
      <c r="AZ422" s="89"/>
      <c r="BA422" s="89" t="s">
        <v>797</v>
      </c>
      <c r="BB422" s="441"/>
      <c r="BC422" s="441"/>
      <c r="BD422" s="89" t="s">
        <v>797</v>
      </c>
      <c r="BE422" s="89" t="s">
        <v>948</v>
      </c>
      <c r="BF422" s="441">
        <v>0</v>
      </c>
      <c r="BG422" s="441">
        <v>0</v>
      </c>
      <c r="BH422" s="441">
        <v>0</v>
      </c>
      <c r="BI422" s="441">
        <v>0</v>
      </c>
      <c r="BJ422" s="441">
        <v>0</v>
      </c>
      <c r="BK422" s="441" t="s">
        <v>797</v>
      </c>
      <c r="BL422" s="89" t="s">
        <v>797</v>
      </c>
      <c r="BM422" s="441"/>
      <c r="BN422" s="441"/>
      <c r="BO422" s="89" t="s">
        <v>797</v>
      </c>
      <c r="BP422" s="441"/>
      <c r="BQ422" s="441"/>
      <c r="BR422" s="441"/>
      <c r="BS422" s="95">
        <f t="shared" si="12"/>
        <v>750</v>
      </c>
      <c r="BT422" s="95">
        <f t="shared" si="12"/>
        <v>750</v>
      </c>
      <c r="BU422" s="95">
        <f t="shared" si="13"/>
        <v>0</v>
      </c>
      <c r="BV422" s="95">
        <f t="shared" si="13"/>
        <v>0</v>
      </c>
      <c r="BW422" s="95">
        <f t="shared" si="13"/>
        <v>0</v>
      </c>
    </row>
    <row r="423" spans="1:75" ht="14.65" customHeight="1">
      <c r="B423" s="437">
        <f t="shared" si="11"/>
        <v>40</v>
      </c>
      <c r="C423" s="255" t="s">
        <v>506</v>
      </c>
      <c r="D423" s="438" t="s">
        <v>359</v>
      </c>
      <c r="E423" s="438" t="s">
        <v>796</v>
      </c>
      <c r="F423" s="89">
        <v>2363.7200000000003</v>
      </c>
      <c r="G423" s="89">
        <v>2789.0047999999997</v>
      </c>
      <c r="H423" s="89">
        <v>6</v>
      </c>
      <c r="I423" s="89" t="s">
        <v>950</v>
      </c>
      <c r="J423" s="89" t="s">
        <v>950</v>
      </c>
      <c r="K423" s="89" t="s">
        <v>956</v>
      </c>
      <c r="L423" s="89" t="s">
        <v>956</v>
      </c>
      <c r="M423" s="89">
        <v>5</v>
      </c>
      <c r="N423" s="89" t="s">
        <v>957</v>
      </c>
      <c r="O423" s="89" t="s">
        <v>979</v>
      </c>
      <c r="P423" s="89" t="s">
        <v>979</v>
      </c>
      <c r="Q423" s="475" t="s">
        <v>797</v>
      </c>
      <c r="R423" s="89"/>
      <c r="S423" s="89"/>
      <c r="T423" s="89"/>
      <c r="U423" s="89" t="s">
        <v>797</v>
      </c>
      <c r="V423" s="89"/>
      <c r="W423" s="89"/>
      <c r="X423" s="89" t="s">
        <v>948</v>
      </c>
      <c r="Y423" s="89"/>
      <c r="Z423" s="89"/>
      <c r="AA423" s="89" t="s">
        <v>797</v>
      </c>
      <c r="AB423" s="89"/>
      <c r="AC423" s="89"/>
      <c r="AD423" s="89" t="s">
        <v>797</v>
      </c>
      <c r="AE423" s="89"/>
      <c r="AF423" s="89"/>
      <c r="AG423" s="89" t="s">
        <v>949</v>
      </c>
      <c r="AH423" s="89"/>
      <c r="AI423" s="89"/>
      <c r="AJ423" s="89" t="s">
        <v>984</v>
      </c>
      <c r="AK423" s="89"/>
      <c r="AL423" s="89" t="s">
        <v>985</v>
      </c>
      <c r="AM423" s="89"/>
      <c r="AN423" s="89" t="s">
        <v>986</v>
      </c>
      <c r="AO423" s="89" t="s">
        <v>987</v>
      </c>
      <c r="AP423" s="89" t="s">
        <v>988</v>
      </c>
      <c r="AQ423" s="89"/>
      <c r="AR423" s="89" t="s">
        <v>993</v>
      </c>
      <c r="AS423" s="89" t="s">
        <v>992</v>
      </c>
      <c r="AT423" s="89" t="s">
        <v>991</v>
      </c>
      <c r="AU423" s="89" t="s">
        <v>955</v>
      </c>
      <c r="AV423" s="89"/>
      <c r="AW423" s="89"/>
      <c r="AX423" s="89"/>
      <c r="AY423" s="89"/>
      <c r="AZ423" s="89"/>
      <c r="BA423" s="89" t="s">
        <v>797</v>
      </c>
      <c r="BB423" s="441"/>
      <c r="BC423" s="441"/>
      <c r="BD423" s="89" t="s">
        <v>797</v>
      </c>
      <c r="BE423" s="89" t="s">
        <v>948</v>
      </c>
      <c r="BF423" s="441">
        <v>0</v>
      </c>
      <c r="BG423" s="441">
        <v>0</v>
      </c>
      <c r="BH423" s="441">
        <v>0</v>
      </c>
      <c r="BI423" s="441">
        <v>0</v>
      </c>
      <c r="BJ423" s="441">
        <v>0</v>
      </c>
      <c r="BK423" s="441" t="s">
        <v>797</v>
      </c>
      <c r="BL423" s="89" t="s">
        <v>797</v>
      </c>
      <c r="BM423" s="441"/>
      <c r="BN423" s="441"/>
      <c r="BO423" s="89" t="s">
        <v>797</v>
      </c>
      <c r="BP423" s="441"/>
      <c r="BQ423" s="441"/>
      <c r="BR423" s="441"/>
      <c r="BS423" s="95">
        <f t="shared" si="12"/>
        <v>1000</v>
      </c>
      <c r="BT423" s="95">
        <f t="shared" si="12"/>
        <v>1000</v>
      </c>
      <c r="BU423" s="95">
        <f t="shared" si="13"/>
        <v>0</v>
      </c>
      <c r="BV423" s="95">
        <f t="shared" si="13"/>
        <v>0</v>
      </c>
      <c r="BW423" s="95">
        <f t="shared" si="13"/>
        <v>0</v>
      </c>
    </row>
    <row r="424" spans="1:75" ht="14.65" customHeight="1">
      <c r="B424" s="437">
        <f t="shared" si="11"/>
        <v>41</v>
      </c>
      <c r="C424" s="255"/>
      <c r="D424" s="438"/>
      <c r="E424" s="438"/>
      <c r="F424" s="89"/>
      <c r="G424" s="89"/>
      <c r="H424" s="89"/>
      <c r="I424" s="89"/>
      <c r="J424" s="89"/>
      <c r="K424" s="89"/>
      <c r="L424" s="89"/>
      <c r="M424" s="89"/>
      <c r="N424" s="89"/>
      <c r="O424" s="89"/>
      <c r="P424" s="89"/>
      <c r="Q424" s="475" t="s">
        <v>797</v>
      </c>
      <c r="R424" s="89"/>
      <c r="S424" s="89"/>
      <c r="T424" s="89"/>
      <c r="U424" s="89"/>
      <c r="V424" s="89"/>
      <c r="W424" s="89"/>
      <c r="X424" s="89" t="s">
        <v>948</v>
      </c>
      <c r="Y424" s="89"/>
      <c r="Z424" s="89"/>
      <c r="AA424" s="89"/>
      <c r="AB424" s="89"/>
      <c r="AC424" s="89"/>
      <c r="AD424" s="89"/>
      <c r="AE424" s="89"/>
      <c r="AF424" s="89"/>
      <c r="AG424" s="89"/>
      <c r="AH424" s="89"/>
      <c r="AI424" s="89"/>
      <c r="AJ424" s="89"/>
      <c r="AK424" s="89"/>
      <c r="AL424" s="89"/>
      <c r="AM424" s="89"/>
      <c r="AN424" s="89"/>
      <c r="AO424" s="89"/>
      <c r="AP424" s="89"/>
      <c r="AQ424" s="89"/>
      <c r="AR424" s="89"/>
      <c r="AS424" s="89"/>
      <c r="AT424" s="89"/>
      <c r="AU424" s="89"/>
      <c r="AV424" s="89"/>
      <c r="AW424" s="89"/>
      <c r="AX424" s="89"/>
      <c r="AY424" s="89"/>
      <c r="AZ424" s="89"/>
      <c r="BA424" s="89" t="s">
        <v>797</v>
      </c>
      <c r="BB424" s="441"/>
      <c r="BC424" s="441"/>
      <c r="BD424" s="89" t="s">
        <v>797</v>
      </c>
      <c r="BE424" s="89" t="s">
        <v>948</v>
      </c>
      <c r="BF424" s="441"/>
      <c r="BG424" s="441"/>
      <c r="BH424" s="441"/>
      <c r="BI424" s="441"/>
      <c r="BJ424" s="441"/>
      <c r="BK424" s="441"/>
      <c r="BL424" s="89" t="s">
        <v>797</v>
      </c>
      <c r="BM424" s="441"/>
      <c r="BN424" s="441"/>
      <c r="BO424" s="89" t="s">
        <v>797</v>
      </c>
      <c r="BP424" s="441"/>
      <c r="BQ424" s="441"/>
      <c r="BR424" s="441"/>
    </row>
    <row r="425" spans="1:75" ht="14.65" customHeight="1">
      <c r="B425" s="437">
        <f t="shared" si="11"/>
        <v>42</v>
      </c>
      <c r="C425" s="255"/>
      <c r="D425" s="438"/>
      <c r="E425" s="438"/>
      <c r="F425" s="89"/>
      <c r="G425" s="89"/>
      <c r="H425" s="89"/>
      <c r="I425" s="89"/>
      <c r="J425" s="89"/>
      <c r="K425" s="89"/>
      <c r="L425" s="89"/>
      <c r="M425" s="89"/>
      <c r="N425" s="89"/>
      <c r="O425" s="89"/>
      <c r="P425" s="89"/>
      <c r="Q425" s="475" t="s">
        <v>797</v>
      </c>
      <c r="R425" s="89"/>
      <c r="S425" s="89"/>
      <c r="T425" s="89"/>
      <c r="U425" s="89"/>
      <c r="V425" s="89"/>
      <c r="W425" s="89"/>
      <c r="X425" s="89" t="s">
        <v>948</v>
      </c>
      <c r="Y425" s="89"/>
      <c r="Z425" s="89"/>
      <c r="AA425" s="89"/>
      <c r="AB425" s="89"/>
      <c r="AC425" s="89"/>
      <c r="AD425" s="89"/>
      <c r="AE425" s="89"/>
      <c r="AF425" s="89"/>
      <c r="AG425" s="89"/>
      <c r="AH425" s="89"/>
      <c r="AI425" s="89"/>
      <c r="AJ425" s="89"/>
      <c r="AK425" s="89"/>
      <c r="AL425" s="89"/>
      <c r="AM425" s="89"/>
      <c r="AN425" s="89"/>
      <c r="AO425" s="89"/>
      <c r="AP425" s="89"/>
      <c r="AQ425" s="89"/>
      <c r="AR425" s="89"/>
      <c r="AS425" s="89"/>
      <c r="AT425" s="89"/>
      <c r="AU425" s="89"/>
      <c r="AV425" s="89"/>
      <c r="AW425" s="89"/>
      <c r="AX425" s="89"/>
      <c r="AY425" s="89"/>
      <c r="AZ425" s="89"/>
      <c r="BA425" s="89" t="s">
        <v>797</v>
      </c>
      <c r="BB425" s="441"/>
      <c r="BC425" s="441"/>
      <c r="BD425" s="89" t="s">
        <v>797</v>
      </c>
      <c r="BE425" s="89" t="s">
        <v>948</v>
      </c>
      <c r="BF425" s="441"/>
      <c r="BG425" s="441"/>
      <c r="BH425" s="441"/>
      <c r="BI425" s="441"/>
      <c r="BJ425" s="441"/>
      <c r="BK425" s="441"/>
      <c r="BL425" s="89" t="s">
        <v>797</v>
      </c>
      <c r="BM425" s="441"/>
      <c r="BN425" s="441"/>
      <c r="BO425" s="89" t="s">
        <v>797</v>
      </c>
      <c r="BP425" s="441"/>
      <c r="BQ425" s="441"/>
      <c r="BR425" s="441"/>
    </row>
    <row r="426" spans="1:75" ht="14.65" customHeight="1">
      <c r="B426" s="437">
        <f t="shared" si="11"/>
        <v>43</v>
      </c>
      <c r="C426" s="255"/>
      <c r="D426" s="438"/>
      <c r="E426" s="438"/>
      <c r="F426" s="89"/>
      <c r="G426" s="89"/>
      <c r="H426" s="89"/>
      <c r="I426" s="89"/>
      <c r="J426" s="89"/>
      <c r="K426" s="89"/>
      <c r="L426" s="89"/>
      <c r="M426" s="89"/>
      <c r="N426" s="89"/>
      <c r="O426" s="89"/>
      <c r="P426" s="89"/>
      <c r="Q426" s="475" t="s">
        <v>797</v>
      </c>
      <c r="R426" s="89"/>
      <c r="S426" s="89"/>
      <c r="T426" s="89"/>
      <c r="U426" s="89"/>
      <c r="V426" s="89"/>
      <c r="W426" s="89"/>
      <c r="X426" s="89" t="s">
        <v>948</v>
      </c>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t="s">
        <v>797</v>
      </c>
      <c r="BB426" s="441"/>
      <c r="BC426" s="441"/>
      <c r="BD426" s="89" t="s">
        <v>797</v>
      </c>
      <c r="BE426" s="89" t="s">
        <v>948</v>
      </c>
      <c r="BF426" s="441"/>
      <c r="BG426" s="441"/>
      <c r="BH426" s="441"/>
      <c r="BI426" s="441"/>
      <c r="BJ426" s="441"/>
      <c r="BK426" s="441"/>
      <c r="BL426" s="89" t="s">
        <v>797</v>
      </c>
      <c r="BM426" s="441"/>
      <c r="BN426" s="441"/>
      <c r="BO426" s="89" t="s">
        <v>797</v>
      </c>
      <c r="BP426" s="441"/>
      <c r="BQ426" s="441"/>
      <c r="BR426" s="441"/>
    </row>
    <row r="427" spans="1:75" ht="14.65" customHeight="1">
      <c r="B427" s="437">
        <f t="shared" si="11"/>
        <v>44</v>
      </c>
      <c r="C427" s="255"/>
      <c r="D427" s="438"/>
      <c r="E427" s="438"/>
      <c r="F427" s="89"/>
      <c r="G427" s="89"/>
      <c r="H427" s="89"/>
      <c r="I427" s="89"/>
      <c r="J427" s="89"/>
      <c r="K427" s="89"/>
      <c r="L427" s="89"/>
      <c r="M427" s="89"/>
      <c r="N427" s="89"/>
      <c r="O427" s="89"/>
      <c r="P427" s="89"/>
      <c r="Q427" s="475" t="s">
        <v>797</v>
      </c>
      <c r="R427" s="89"/>
      <c r="S427" s="89"/>
      <c r="T427" s="89"/>
      <c r="U427" s="89"/>
      <c r="V427" s="89"/>
      <c r="W427" s="89"/>
      <c r="X427" s="89" t="s">
        <v>948</v>
      </c>
      <c r="Y427" s="89"/>
      <c r="Z427" s="89"/>
      <c r="AA427" s="89"/>
      <c r="AB427" s="89"/>
      <c r="AC427" s="89"/>
      <c r="AD427" s="89"/>
      <c r="AE427" s="89"/>
      <c r="AF427" s="89"/>
      <c r="AG427" s="89"/>
      <c r="AH427" s="89"/>
      <c r="AI427" s="89"/>
      <c r="AJ427" s="89"/>
      <c r="AK427" s="89"/>
      <c r="AL427" s="89"/>
      <c r="AM427" s="89"/>
      <c r="AN427" s="89"/>
      <c r="AO427" s="89"/>
      <c r="AP427" s="89"/>
      <c r="AQ427" s="89"/>
      <c r="AR427" s="89"/>
      <c r="AS427" s="89"/>
      <c r="AT427" s="89"/>
      <c r="AU427" s="89"/>
      <c r="AV427" s="89"/>
      <c r="AW427" s="89"/>
      <c r="AX427" s="89"/>
      <c r="AY427" s="89"/>
      <c r="AZ427" s="89"/>
      <c r="BA427" s="89" t="s">
        <v>797</v>
      </c>
      <c r="BB427" s="441"/>
      <c r="BC427" s="441"/>
      <c r="BD427" s="89" t="s">
        <v>797</v>
      </c>
      <c r="BE427" s="89" t="s">
        <v>948</v>
      </c>
      <c r="BF427" s="441"/>
      <c r="BG427" s="441"/>
      <c r="BH427" s="441"/>
      <c r="BI427" s="441"/>
      <c r="BJ427" s="441"/>
      <c r="BK427" s="441"/>
      <c r="BL427" s="89" t="s">
        <v>797</v>
      </c>
      <c r="BM427" s="441"/>
      <c r="BN427" s="441"/>
      <c r="BO427" s="89" t="s">
        <v>797</v>
      </c>
      <c r="BP427" s="441"/>
      <c r="BQ427" s="441"/>
      <c r="BR427" s="441"/>
    </row>
    <row r="428" spans="1:75" ht="14.65" customHeight="1">
      <c r="B428" s="437">
        <f t="shared" si="11"/>
        <v>45</v>
      </c>
      <c r="C428" s="255"/>
      <c r="D428" s="438"/>
      <c r="E428" s="438"/>
      <c r="F428" s="89"/>
      <c r="G428" s="89"/>
      <c r="H428" s="89"/>
      <c r="I428" s="89"/>
      <c r="J428" s="89"/>
      <c r="K428" s="89"/>
      <c r="L428" s="89"/>
      <c r="M428" s="89"/>
      <c r="N428" s="89"/>
      <c r="O428" s="89"/>
      <c r="P428" s="89"/>
      <c r="Q428" s="475" t="s">
        <v>797</v>
      </c>
      <c r="R428" s="89"/>
      <c r="S428" s="89"/>
      <c r="T428" s="89"/>
      <c r="U428" s="89"/>
      <c r="V428" s="89"/>
      <c r="W428" s="89"/>
      <c r="X428" s="89" t="s">
        <v>948</v>
      </c>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89"/>
      <c r="AY428" s="89"/>
      <c r="AZ428" s="89"/>
      <c r="BA428" s="89" t="s">
        <v>797</v>
      </c>
      <c r="BB428" s="441"/>
      <c r="BC428" s="441"/>
      <c r="BD428" s="89" t="s">
        <v>797</v>
      </c>
      <c r="BE428" s="89" t="s">
        <v>948</v>
      </c>
      <c r="BF428" s="441"/>
      <c r="BG428" s="441"/>
      <c r="BH428" s="441"/>
      <c r="BI428" s="441"/>
      <c r="BJ428" s="441"/>
      <c r="BK428" s="441"/>
      <c r="BL428" s="89" t="s">
        <v>797</v>
      </c>
      <c r="BM428" s="441"/>
      <c r="BN428" s="441"/>
      <c r="BO428" s="89" t="s">
        <v>797</v>
      </c>
      <c r="BP428" s="441"/>
      <c r="BQ428" s="441"/>
      <c r="BR428" s="441"/>
    </row>
    <row r="429" spans="1:75" ht="14.65" customHeight="1">
      <c r="B429" s="437">
        <f t="shared" si="11"/>
        <v>46</v>
      </c>
      <c r="C429" s="255"/>
      <c r="D429" s="438"/>
      <c r="E429" s="438"/>
      <c r="F429" s="89"/>
      <c r="G429" s="89"/>
      <c r="H429" s="89"/>
      <c r="I429" s="89"/>
      <c r="J429" s="89"/>
      <c r="K429" s="89"/>
      <c r="L429" s="89"/>
      <c r="M429" s="89"/>
      <c r="N429" s="89"/>
      <c r="O429" s="89"/>
      <c r="P429" s="89"/>
      <c r="Q429" s="475" t="s">
        <v>797</v>
      </c>
      <c r="R429" s="89"/>
      <c r="S429" s="89"/>
      <c r="T429" s="89"/>
      <c r="U429" s="89"/>
      <c r="V429" s="89"/>
      <c r="W429" s="89"/>
      <c r="X429" s="89" t="s">
        <v>948</v>
      </c>
      <c r="Y429" s="89"/>
      <c r="Z429" s="89"/>
      <c r="AA429" s="89"/>
      <c r="AB429" s="89"/>
      <c r="AC429" s="89"/>
      <c r="AD429" s="89"/>
      <c r="AE429" s="89"/>
      <c r="AF429" s="89"/>
      <c r="AG429" s="89"/>
      <c r="AH429" s="89"/>
      <c r="AI429" s="89"/>
      <c r="AJ429" s="89"/>
      <c r="AK429" s="89"/>
      <c r="AL429" s="89"/>
      <c r="AM429" s="89"/>
      <c r="AN429" s="89"/>
      <c r="AO429" s="89"/>
      <c r="AP429" s="89"/>
      <c r="AQ429" s="89"/>
      <c r="AR429" s="89"/>
      <c r="AS429" s="89"/>
      <c r="AT429" s="89"/>
      <c r="AU429" s="89"/>
      <c r="AV429" s="89"/>
      <c r="AW429" s="89"/>
      <c r="AX429" s="89"/>
      <c r="AY429" s="89"/>
      <c r="AZ429" s="89"/>
      <c r="BA429" s="89" t="s">
        <v>797</v>
      </c>
      <c r="BB429" s="441"/>
      <c r="BC429" s="441"/>
      <c r="BD429" s="89" t="s">
        <v>797</v>
      </c>
      <c r="BE429" s="89" t="s">
        <v>948</v>
      </c>
      <c r="BF429" s="441"/>
      <c r="BG429" s="441"/>
      <c r="BH429" s="441"/>
      <c r="BI429" s="441"/>
      <c r="BJ429" s="441"/>
      <c r="BK429" s="441"/>
      <c r="BL429" s="89" t="s">
        <v>797</v>
      </c>
      <c r="BM429" s="441"/>
      <c r="BN429" s="441"/>
      <c r="BO429" s="89" t="s">
        <v>797</v>
      </c>
      <c r="BP429" s="441"/>
      <c r="BQ429" s="441"/>
      <c r="BR429" s="441"/>
    </row>
    <row r="430" spans="1:75" ht="14.65" customHeight="1">
      <c r="B430" s="437">
        <f t="shared" si="11"/>
        <v>47</v>
      </c>
      <c r="C430" s="255"/>
      <c r="D430" s="438"/>
      <c r="E430" s="438"/>
      <c r="F430" s="89"/>
      <c r="G430" s="89"/>
      <c r="H430" s="89"/>
      <c r="I430" s="89"/>
      <c r="J430" s="89"/>
      <c r="K430" s="89"/>
      <c r="L430" s="89"/>
      <c r="M430" s="89"/>
      <c r="N430" s="89"/>
      <c r="O430" s="89"/>
      <c r="P430" s="89"/>
      <c r="Q430" s="475" t="s">
        <v>797</v>
      </c>
      <c r="R430" s="89"/>
      <c r="S430" s="89"/>
      <c r="T430" s="89"/>
      <c r="U430" s="89"/>
      <c r="V430" s="89"/>
      <c r="W430" s="89"/>
      <c r="X430" s="89" t="s">
        <v>948</v>
      </c>
      <c r="Y430" s="89"/>
      <c r="Z430" s="89"/>
      <c r="AA430" s="89"/>
      <c r="AB430" s="89"/>
      <c r="AC430" s="89"/>
      <c r="AD430" s="89"/>
      <c r="AE430" s="89"/>
      <c r="AF430" s="89"/>
      <c r="AG430" s="89"/>
      <c r="AH430" s="89"/>
      <c r="AI430" s="89"/>
      <c r="AJ430" s="89"/>
      <c r="AK430" s="89"/>
      <c r="AL430" s="89"/>
      <c r="AM430" s="89"/>
      <c r="AN430" s="89"/>
      <c r="AO430" s="89"/>
      <c r="AP430" s="89"/>
      <c r="AQ430" s="89"/>
      <c r="AR430" s="89"/>
      <c r="AS430" s="89"/>
      <c r="AT430" s="89"/>
      <c r="AU430" s="89"/>
      <c r="AV430" s="89"/>
      <c r="AW430" s="89"/>
      <c r="AX430" s="89"/>
      <c r="AY430" s="89"/>
      <c r="AZ430" s="89"/>
      <c r="BA430" s="89" t="s">
        <v>797</v>
      </c>
      <c r="BB430" s="441"/>
      <c r="BC430" s="441"/>
      <c r="BD430" s="89" t="s">
        <v>797</v>
      </c>
      <c r="BE430" s="89" t="s">
        <v>948</v>
      </c>
      <c r="BF430" s="441"/>
      <c r="BG430" s="441"/>
      <c r="BH430" s="441"/>
      <c r="BI430" s="441"/>
      <c r="BJ430" s="441"/>
      <c r="BK430" s="441"/>
      <c r="BL430" s="89" t="s">
        <v>797</v>
      </c>
      <c r="BM430" s="441"/>
      <c r="BN430" s="441"/>
      <c r="BO430" s="89" t="s">
        <v>797</v>
      </c>
      <c r="BP430" s="441"/>
      <c r="BQ430" s="441"/>
      <c r="BR430" s="441"/>
    </row>
    <row r="431" spans="1:75" ht="14.65" customHeight="1">
      <c r="B431" s="437">
        <f t="shared" si="11"/>
        <v>48</v>
      </c>
      <c r="C431" s="255"/>
      <c r="D431" s="438"/>
      <c r="E431" s="438"/>
      <c r="F431" s="89"/>
      <c r="G431" s="89"/>
      <c r="H431" s="89"/>
      <c r="I431" s="89"/>
      <c r="J431" s="89"/>
      <c r="K431" s="89"/>
      <c r="L431" s="89"/>
      <c r="M431" s="89"/>
      <c r="N431" s="89"/>
      <c r="O431" s="89"/>
      <c r="P431" s="89"/>
      <c r="Q431" s="475" t="s">
        <v>797</v>
      </c>
      <c r="R431" s="89"/>
      <c r="S431" s="89"/>
      <c r="T431" s="89"/>
      <c r="U431" s="89"/>
      <c r="V431" s="89"/>
      <c r="W431" s="89"/>
      <c r="X431" s="89" t="s">
        <v>948</v>
      </c>
      <c r="Y431" s="89"/>
      <c r="Z431" s="89"/>
      <c r="AA431" s="89"/>
      <c r="AB431" s="89"/>
      <c r="AC431" s="89"/>
      <c r="AD431" s="89"/>
      <c r="AE431" s="89"/>
      <c r="AF431" s="89"/>
      <c r="AG431" s="89"/>
      <c r="AH431" s="89"/>
      <c r="AI431" s="89"/>
      <c r="AJ431" s="89"/>
      <c r="AK431" s="89"/>
      <c r="AL431" s="89"/>
      <c r="AM431" s="89"/>
      <c r="AN431" s="89"/>
      <c r="AO431" s="89"/>
      <c r="AP431" s="89"/>
      <c r="AQ431" s="89"/>
      <c r="AR431" s="89"/>
      <c r="AS431" s="89"/>
      <c r="AT431" s="89"/>
      <c r="AU431" s="89"/>
      <c r="AV431" s="89"/>
      <c r="AW431" s="89"/>
      <c r="AX431" s="89"/>
      <c r="AY431" s="89"/>
      <c r="AZ431" s="89"/>
      <c r="BA431" s="89" t="s">
        <v>797</v>
      </c>
      <c r="BB431" s="441"/>
      <c r="BC431" s="441"/>
      <c r="BD431" s="89" t="s">
        <v>797</v>
      </c>
      <c r="BE431" s="89" t="s">
        <v>948</v>
      </c>
      <c r="BF431" s="441"/>
      <c r="BG431" s="441"/>
      <c r="BH431" s="441"/>
      <c r="BI431" s="441"/>
      <c r="BJ431" s="441"/>
      <c r="BK431" s="441"/>
      <c r="BL431" s="89" t="s">
        <v>797</v>
      </c>
      <c r="BM431" s="441"/>
      <c r="BN431" s="441"/>
      <c r="BO431" s="89" t="s">
        <v>797</v>
      </c>
      <c r="BP431" s="441"/>
      <c r="BQ431" s="441"/>
      <c r="BR431" s="441"/>
    </row>
    <row r="432" spans="1:75" ht="14.65" customHeight="1">
      <c r="B432" s="437">
        <f t="shared" si="11"/>
        <v>49</v>
      </c>
      <c r="C432" s="255"/>
      <c r="D432" s="438"/>
      <c r="E432" s="438"/>
      <c r="F432" s="89"/>
      <c r="G432" s="89"/>
      <c r="H432" s="89"/>
      <c r="I432" s="89"/>
      <c r="J432" s="89"/>
      <c r="K432" s="89"/>
      <c r="L432" s="89"/>
      <c r="M432" s="89"/>
      <c r="N432" s="89"/>
      <c r="O432" s="89"/>
      <c r="P432" s="89"/>
      <c r="Q432" s="475" t="s">
        <v>797</v>
      </c>
      <c r="R432" s="89"/>
      <c r="S432" s="89"/>
      <c r="T432" s="89"/>
      <c r="U432" s="89"/>
      <c r="V432" s="89"/>
      <c r="W432" s="89"/>
      <c r="X432" s="89" t="s">
        <v>948</v>
      </c>
      <c r="Y432" s="89"/>
      <c r="Z432" s="89"/>
      <c r="AA432" s="89"/>
      <c r="AB432" s="89"/>
      <c r="AC432" s="89"/>
      <c r="AD432" s="89"/>
      <c r="AE432" s="89"/>
      <c r="AF432" s="89"/>
      <c r="AG432" s="89"/>
      <c r="AH432" s="89"/>
      <c r="AI432" s="89"/>
      <c r="AJ432" s="89"/>
      <c r="AK432" s="89"/>
      <c r="AL432" s="89"/>
      <c r="AM432" s="89"/>
      <c r="AN432" s="89"/>
      <c r="AO432" s="89"/>
      <c r="AP432" s="89"/>
      <c r="AQ432" s="89"/>
      <c r="AR432" s="89"/>
      <c r="AS432" s="89"/>
      <c r="AT432" s="89"/>
      <c r="AU432" s="89"/>
      <c r="AV432" s="89"/>
      <c r="AW432" s="89"/>
      <c r="AX432" s="89"/>
      <c r="AY432" s="89"/>
      <c r="AZ432" s="89"/>
      <c r="BA432" s="89" t="s">
        <v>797</v>
      </c>
      <c r="BB432" s="441"/>
      <c r="BC432" s="441"/>
      <c r="BD432" s="89" t="s">
        <v>797</v>
      </c>
      <c r="BE432" s="89" t="s">
        <v>948</v>
      </c>
      <c r="BF432" s="441"/>
      <c r="BG432" s="441"/>
      <c r="BH432" s="441"/>
      <c r="BI432" s="441"/>
      <c r="BJ432" s="441"/>
      <c r="BK432" s="441"/>
      <c r="BL432" s="89" t="s">
        <v>797</v>
      </c>
      <c r="BM432" s="441"/>
      <c r="BN432" s="441"/>
      <c r="BO432" s="89" t="s">
        <v>797</v>
      </c>
      <c r="BP432" s="441"/>
      <c r="BQ432" s="441"/>
      <c r="BR432" s="441"/>
    </row>
    <row r="433" spans="2:70" ht="14.65" customHeight="1">
      <c r="B433" s="437">
        <f t="shared" si="11"/>
        <v>50</v>
      </c>
      <c r="C433" s="255"/>
      <c r="D433" s="438"/>
      <c r="E433" s="438"/>
      <c r="F433" s="89"/>
      <c r="G433" s="89"/>
      <c r="H433" s="89"/>
      <c r="I433" s="89"/>
      <c r="J433" s="89"/>
      <c r="K433" s="89"/>
      <c r="L433" s="89"/>
      <c r="M433" s="89"/>
      <c r="N433" s="89"/>
      <c r="O433" s="89"/>
      <c r="P433" s="89"/>
      <c r="Q433" s="475" t="s">
        <v>797</v>
      </c>
      <c r="R433" s="89"/>
      <c r="S433" s="89"/>
      <c r="T433" s="89"/>
      <c r="U433" s="89"/>
      <c r="V433" s="89"/>
      <c r="W433" s="89"/>
      <c r="X433" s="89" t="s">
        <v>948</v>
      </c>
      <c r="Y433" s="89"/>
      <c r="Z433" s="89"/>
      <c r="AA433" s="89"/>
      <c r="AB433" s="89"/>
      <c r="AC433" s="89"/>
      <c r="AD433" s="89"/>
      <c r="AE433" s="89"/>
      <c r="AF433" s="89"/>
      <c r="AG433" s="89"/>
      <c r="AH433" s="89"/>
      <c r="AI433" s="89"/>
      <c r="AJ433" s="89"/>
      <c r="AK433" s="89"/>
      <c r="AL433" s="89"/>
      <c r="AM433" s="89"/>
      <c r="AN433" s="89"/>
      <c r="AO433" s="89"/>
      <c r="AP433" s="89"/>
      <c r="AQ433" s="89"/>
      <c r="AR433" s="89"/>
      <c r="AS433" s="89"/>
      <c r="AT433" s="89"/>
      <c r="AU433" s="89"/>
      <c r="AV433" s="89"/>
      <c r="AW433" s="89"/>
      <c r="AX433" s="89"/>
      <c r="AY433" s="89"/>
      <c r="AZ433" s="89"/>
      <c r="BA433" s="89" t="s">
        <v>797</v>
      </c>
      <c r="BB433" s="441"/>
      <c r="BC433" s="441"/>
      <c r="BD433" s="89" t="s">
        <v>797</v>
      </c>
      <c r="BE433" s="89" t="s">
        <v>948</v>
      </c>
      <c r="BF433" s="441"/>
      <c r="BG433" s="441"/>
      <c r="BH433" s="441"/>
      <c r="BI433" s="441"/>
      <c r="BJ433" s="441"/>
      <c r="BK433" s="441"/>
      <c r="BL433" s="89" t="s">
        <v>797</v>
      </c>
      <c r="BM433" s="441"/>
      <c r="BN433" s="441"/>
      <c r="BO433" s="89" t="s">
        <v>797</v>
      </c>
      <c r="BP433" s="441"/>
      <c r="BQ433" s="441"/>
      <c r="BR433" s="441"/>
    </row>
    <row r="434" spans="2:70" ht="14.65" customHeight="1">
      <c r="B434" s="437">
        <f t="shared" si="11"/>
        <v>51</v>
      </c>
      <c r="C434" s="255"/>
      <c r="D434" s="438"/>
      <c r="E434" s="438"/>
      <c r="F434" s="89"/>
      <c r="G434" s="89"/>
      <c r="H434" s="89"/>
      <c r="I434" s="89"/>
      <c r="J434" s="89"/>
      <c r="K434" s="89"/>
      <c r="L434" s="89"/>
      <c r="M434" s="89"/>
      <c r="N434" s="89"/>
      <c r="O434" s="89"/>
      <c r="P434" s="89"/>
      <c r="Q434" s="475" t="s">
        <v>797</v>
      </c>
      <c r="R434" s="89"/>
      <c r="S434" s="89"/>
      <c r="T434" s="89"/>
      <c r="U434" s="89"/>
      <c r="V434" s="89"/>
      <c r="W434" s="89"/>
      <c r="X434" s="89" t="s">
        <v>948</v>
      </c>
      <c r="Y434" s="89"/>
      <c r="Z434" s="89"/>
      <c r="AA434" s="89"/>
      <c r="AB434" s="89"/>
      <c r="AC434" s="89"/>
      <c r="AD434" s="89"/>
      <c r="AE434" s="89"/>
      <c r="AF434" s="89"/>
      <c r="AG434" s="89"/>
      <c r="AH434" s="89"/>
      <c r="AI434" s="89"/>
      <c r="AJ434" s="89"/>
      <c r="AK434" s="89"/>
      <c r="AL434" s="89"/>
      <c r="AM434" s="89"/>
      <c r="AN434" s="89"/>
      <c r="AO434" s="89"/>
      <c r="AP434" s="89"/>
      <c r="AQ434" s="89"/>
      <c r="AR434" s="89"/>
      <c r="AS434" s="89"/>
      <c r="AT434" s="89"/>
      <c r="AU434" s="89"/>
      <c r="AV434" s="89"/>
      <c r="AW434" s="89"/>
      <c r="AX434" s="89"/>
      <c r="AY434" s="89"/>
      <c r="AZ434" s="89"/>
      <c r="BA434" s="89" t="s">
        <v>797</v>
      </c>
      <c r="BB434" s="441"/>
      <c r="BC434" s="441"/>
      <c r="BD434" s="89" t="s">
        <v>797</v>
      </c>
      <c r="BE434" s="89" t="s">
        <v>948</v>
      </c>
      <c r="BF434" s="441"/>
      <c r="BG434" s="441"/>
      <c r="BH434" s="441"/>
      <c r="BI434" s="441"/>
      <c r="BJ434" s="441"/>
      <c r="BK434" s="441"/>
      <c r="BL434" s="89" t="s">
        <v>797</v>
      </c>
      <c r="BM434" s="441"/>
      <c r="BN434" s="441"/>
      <c r="BO434" s="89" t="s">
        <v>797</v>
      </c>
      <c r="BP434" s="441"/>
      <c r="BQ434" s="441"/>
      <c r="BR434" s="441"/>
    </row>
    <row r="435" spans="2:70" ht="14.65" customHeight="1">
      <c r="B435" s="437">
        <f t="shared" si="11"/>
        <v>52</v>
      </c>
      <c r="C435" s="255"/>
      <c r="D435" s="438"/>
      <c r="E435" s="438"/>
      <c r="F435" s="89"/>
      <c r="G435" s="89"/>
      <c r="H435" s="89"/>
      <c r="I435" s="89"/>
      <c r="J435" s="89"/>
      <c r="K435" s="89"/>
      <c r="L435" s="89"/>
      <c r="M435" s="89"/>
      <c r="N435" s="89"/>
      <c r="O435" s="89"/>
      <c r="P435" s="89"/>
      <c r="Q435" s="475" t="s">
        <v>797</v>
      </c>
      <c r="R435" s="89"/>
      <c r="S435" s="89"/>
      <c r="T435" s="89"/>
      <c r="U435" s="89"/>
      <c r="V435" s="89"/>
      <c r="W435" s="89"/>
      <c r="X435" s="89" t="s">
        <v>948</v>
      </c>
      <c r="Y435" s="89"/>
      <c r="Z435" s="89"/>
      <c r="AA435" s="89"/>
      <c r="AB435" s="89"/>
      <c r="AC435" s="89"/>
      <c r="AD435" s="89"/>
      <c r="AE435" s="89"/>
      <c r="AF435" s="89"/>
      <c r="AG435" s="89"/>
      <c r="AH435" s="89"/>
      <c r="AI435" s="89"/>
      <c r="AJ435" s="89"/>
      <c r="AK435" s="89"/>
      <c r="AL435" s="89"/>
      <c r="AM435" s="89"/>
      <c r="AN435" s="89"/>
      <c r="AO435" s="89"/>
      <c r="AP435" s="89"/>
      <c r="AQ435" s="89"/>
      <c r="AR435" s="89"/>
      <c r="AS435" s="89"/>
      <c r="AT435" s="89"/>
      <c r="AU435" s="89"/>
      <c r="AV435" s="89"/>
      <c r="AW435" s="89"/>
      <c r="AX435" s="89"/>
      <c r="AY435" s="89"/>
      <c r="AZ435" s="89"/>
      <c r="BA435" s="89" t="s">
        <v>797</v>
      </c>
      <c r="BB435" s="441"/>
      <c r="BC435" s="441"/>
      <c r="BD435" s="89" t="s">
        <v>797</v>
      </c>
      <c r="BE435" s="89" t="s">
        <v>948</v>
      </c>
      <c r="BF435" s="441"/>
      <c r="BG435" s="441"/>
      <c r="BH435" s="441"/>
      <c r="BI435" s="441"/>
      <c r="BJ435" s="441"/>
      <c r="BK435" s="441"/>
      <c r="BL435" s="89" t="s">
        <v>797</v>
      </c>
      <c r="BM435" s="441"/>
      <c r="BN435" s="441"/>
      <c r="BO435" s="89" t="s">
        <v>797</v>
      </c>
      <c r="BP435" s="441"/>
      <c r="BQ435" s="441"/>
      <c r="BR435" s="441"/>
    </row>
    <row r="436" spans="2:70" ht="14.65" customHeight="1">
      <c r="B436" s="437">
        <f t="shared" si="11"/>
        <v>53</v>
      </c>
      <c r="C436" s="255"/>
      <c r="D436" s="438"/>
      <c r="E436" s="438"/>
      <c r="F436" s="89"/>
      <c r="G436" s="89"/>
      <c r="H436" s="89"/>
      <c r="I436" s="89"/>
      <c r="J436" s="89"/>
      <c r="K436" s="89"/>
      <c r="L436" s="89"/>
      <c r="M436" s="89"/>
      <c r="N436" s="89"/>
      <c r="O436" s="89"/>
      <c r="P436" s="89"/>
      <c r="Q436" s="475" t="s">
        <v>797</v>
      </c>
      <c r="R436" s="89"/>
      <c r="S436" s="89"/>
      <c r="T436" s="89"/>
      <c r="U436" s="89"/>
      <c r="V436" s="89"/>
      <c r="W436" s="89"/>
      <c r="X436" s="89" t="s">
        <v>948</v>
      </c>
      <c r="Y436" s="89"/>
      <c r="Z436" s="89"/>
      <c r="AA436" s="89"/>
      <c r="AB436" s="89"/>
      <c r="AC436" s="89"/>
      <c r="AD436" s="89"/>
      <c r="AE436" s="89"/>
      <c r="AF436" s="89"/>
      <c r="AG436" s="89"/>
      <c r="AH436" s="89"/>
      <c r="AI436" s="89"/>
      <c r="AJ436" s="89"/>
      <c r="AK436" s="89"/>
      <c r="AL436" s="89"/>
      <c r="AM436" s="89"/>
      <c r="AN436" s="89"/>
      <c r="AO436" s="89"/>
      <c r="AP436" s="89"/>
      <c r="AQ436" s="89"/>
      <c r="AR436" s="89"/>
      <c r="AS436" s="89"/>
      <c r="AT436" s="89"/>
      <c r="AU436" s="89"/>
      <c r="AV436" s="89"/>
      <c r="AW436" s="89"/>
      <c r="AX436" s="89"/>
      <c r="AY436" s="89"/>
      <c r="AZ436" s="89"/>
      <c r="BA436" s="89" t="s">
        <v>797</v>
      </c>
      <c r="BB436" s="441"/>
      <c r="BC436" s="441"/>
      <c r="BD436" s="89" t="s">
        <v>797</v>
      </c>
      <c r="BE436" s="89" t="s">
        <v>948</v>
      </c>
      <c r="BF436" s="441"/>
      <c r="BG436" s="441"/>
      <c r="BH436" s="441"/>
      <c r="BI436" s="441"/>
      <c r="BJ436" s="441"/>
      <c r="BK436" s="441"/>
      <c r="BL436" s="89" t="s">
        <v>797</v>
      </c>
      <c r="BM436" s="441"/>
      <c r="BN436" s="441"/>
      <c r="BO436" s="89" t="s">
        <v>797</v>
      </c>
      <c r="BP436" s="441"/>
      <c r="BQ436" s="441"/>
      <c r="BR436" s="441"/>
    </row>
    <row r="437" spans="2:70" ht="14.65" customHeight="1">
      <c r="B437" s="437">
        <f t="shared" si="11"/>
        <v>54</v>
      </c>
      <c r="C437" s="255"/>
      <c r="D437" s="438"/>
      <c r="E437" s="438"/>
      <c r="F437" s="89"/>
      <c r="G437" s="89"/>
      <c r="H437" s="89"/>
      <c r="I437" s="89"/>
      <c r="J437" s="89"/>
      <c r="K437" s="89"/>
      <c r="L437" s="89"/>
      <c r="M437" s="89"/>
      <c r="N437" s="89"/>
      <c r="O437" s="89"/>
      <c r="P437" s="89"/>
      <c r="Q437" s="475" t="s">
        <v>797</v>
      </c>
      <c r="R437" s="89"/>
      <c r="S437" s="89"/>
      <c r="T437" s="89"/>
      <c r="U437" s="89"/>
      <c r="V437" s="89"/>
      <c r="W437" s="89"/>
      <c r="X437" s="89" t="s">
        <v>948</v>
      </c>
      <c r="Y437" s="89"/>
      <c r="Z437" s="89"/>
      <c r="AA437" s="89"/>
      <c r="AB437" s="89"/>
      <c r="AC437" s="89"/>
      <c r="AD437" s="89"/>
      <c r="AE437" s="89"/>
      <c r="AF437" s="89"/>
      <c r="AG437" s="89"/>
      <c r="AH437" s="89"/>
      <c r="AI437" s="89"/>
      <c r="AJ437" s="89"/>
      <c r="AK437" s="89"/>
      <c r="AL437" s="89"/>
      <c r="AM437" s="89"/>
      <c r="AN437" s="89"/>
      <c r="AO437" s="89"/>
      <c r="AP437" s="89"/>
      <c r="AQ437" s="89"/>
      <c r="AR437" s="89"/>
      <c r="AS437" s="89"/>
      <c r="AT437" s="89"/>
      <c r="AU437" s="89"/>
      <c r="AV437" s="89"/>
      <c r="AW437" s="89"/>
      <c r="AX437" s="89"/>
      <c r="AY437" s="89"/>
      <c r="AZ437" s="89"/>
      <c r="BA437" s="89" t="s">
        <v>797</v>
      </c>
      <c r="BB437" s="441"/>
      <c r="BC437" s="441"/>
      <c r="BD437" s="89" t="s">
        <v>797</v>
      </c>
      <c r="BE437" s="89" t="s">
        <v>948</v>
      </c>
      <c r="BF437" s="441"/>
      <c r="BG437" s="441"/>
      <c r="BH437" s="441"/>
      <c r="BI437" s="441"/>
      <c r="BJ437" s="441"/>
      <c r="BK437" s="441"/>
      <c r="BL437" s="89" t="s">
        <v>797</v>
      </c>
      <c r="BM437" s="441"/>
      <c r="BN437" s="441"/>
      <c r="BO437" s="89" t="s">
        <v>797</v>
      </c>
      <c r="BP437" s="441"/>
      <c r="BQ437" s="441"/>
      <c r="BR437" s="441"/>
    </row>
    <row r="438" spans="2:70" ht="14.65" customHeight="1">
      <c r="B438" s="437">
        <f t="shared" si="11"/>
        <v>55</v>
      </c>
      <c r="C438" s="255"/>
      <c r="D438" s="438"/>
      <c r="E438" s="438"/>
      <c r="F438" s="89"/>
      <c r="G438" s="89"/>
      <c r="H438" s="89"/>
      <c r="I438" s="89"/>
      <c r="J438" s="89"/>
      <c r="K438" s="89"/>
      <c r="L438" s="89"/>
      <c r="M438" s="89"/>
      <c r="N438" s="89"/>
      <c r="O438" s="89"/>
      <c r="P438" s="89"/>
      <c r="Q438" s="475" t="s">
        <v>797</v>
      </c>
      <c r="R438" s="89"/>
      <c r="S438" s="89"/>
      <c r="T438" s="89"/>
      <c r="U438" s="89"/>
      <c r="V438" s="89"/>
      <c r="W438" s="89"/>
      <c r="X438" s="89" t="s">
        <v>948</v>
      </c>
      <c r="Y438" s="89"/>
      <c r="Z438" s="89"/>
      <c r="AA438" s="89"/>
      <c r="AB438" s="89"/>
      <c r="AC438" s="89"/>
      <c r="AD438" s="89"/>
      <c r="AE438" s="89"/>
      <c r="AF438" s="89"/>
      <c r="AG438" s="89"/>
      <c r="AH438" s="89"/>
      <c r="AI438" s="89"/>
      <c r="AJ438" s="89"/>
      <c r="AK438" s="89"/>
      <c r="AL438" s="89"/>
      <c r="AM438" s="89"/>
      <c r="AN438" s="89"/>
      <c r="AO438" s="89"/>
      <c r="AP438" s="89"/>
      <c r="AQ438" s="89"/>
      <c r="AR438" s="89"/>
      <c r="AS438" s="89"/>
      <c r="AT438" s="89"/>
      <c r="AU438" s="89"/>
      <c r="AV438" s="89"/>
      <c r="AW438" s="89"/>
      <c r="AX438" s="89"/>
      <c r="AY438" s="89"/>
      <c r="AZ438" s="89"/>
      <c r="BA438" s="89" t="s">
        <v>797</v>
      </c>
      <c r="BB438" s="441"/>
      <c r="BC438" s="441"/>
      <c r="BD438" s="89" t="s">
        <v>797</v>
      </c>
      <c r="BE438" s="89" t="s">
        <v>948</v>
      </c>
      <c r="BF438" s="441"/>
      <c r="BG438" s="441"/>
      <c r="BH438" s="441"/>
      <c r="BI438" s="441"/>
      <c r="BJ438" s="441"/>
      <c r="BK438" s="441"/>
      <c r="BL438" s="89" t="s">
        <v>797</v>
      </c>
      <c r="BM438" s="441"/>
      <c r="BN438" s="441"/>
      <c r="BO438" s="89" t="s">
        <v>797</v>
      </c>
      <c r="BP438" s="441"/>
      <c r="BQ438" s="441"/>
      <c r="BR438" s="441"/>
    </row>
    <row r="439" spans="2:70" ht="14.65" customHeight="1">
      <c r="B439" s="437">
        <f t="shared" si="11"/>
        <v>56</v>
      </c>
      <c r="C439" s="255"/>
      <c r="D439" s="438"/>
      <c r="E439" s="438"/>
      <c r="F439" s="89"/>
      <c r="G439" s="89"/>
      <c r="H439" s="89"/>
      <c r="I439" s="89"/>
      <c r="J439" s="89"/>
      <c r="K439" s="89"/>
      <c r="L439" s="89"/>
      <c r="M439" s="89"/>
      <c r="N439" s="89"/>
      <c r="O439" s="89"/>
      <c r="P439" s="89"/>
      <c r="Q439" s="475" t="s">
        <v>797</v>
      </c>
      <c r="R439" s="89"/>
      <c r="S439" s="89"/>
      <c r="T439" s="89"/>
      <c r="U439" s="89"/>
      <c r="V439" s="89"/>
      <c r="W439" s="89"/>
      <c r="X439" s="89" t="s">
        <v>948</v>
      </c>
      <c r="Y439" s="89"/>
      <c r="Z439" s="89"/>
      <c r="AA439" s="89"/>
      <c r="AB439" s="89"/>
      <c r="AC439" s="89"/>
      <c r="AD439" s="89"/>
      <c r="AE439" s="89"/>
      <c r="AF439" s="89"/>
      <c r="AG439" s="89"/>
      <c r="AH439" s="89"/>
      <c r="AI439" s="89"/>
      <c r="AJ439" s="89"/>
      <c r="AK439" s="89"/>
      <c r="AL439" s="89"/>
      <c r="AM439" s="89"/>
      <c r="AN439" s="89"/>
      <c r="AO439" s="89"/>
      <c r="AP439" s="89"/>
      <c r="AQ439" s="89"/>
      <c r="AR439" s="89"/>
      <c r="AS439" s="89"/>
      <c r="AT439" s="89"/>
      <c r="AU439" s="89"/>
      <c r="AV439" s="89"/>
      <c r="AW439" s="89"/>
      <c r="AX439" s="89"/>
      <c r="AY439" s="89"/>
      <c r="AZ439" s="89"/>
      <c r="BA439" s="89" t="s">
        <v>797</v>
      </c>
      <c r="BB439" s="441"/>
      <c r="BC439" s="441"/>
      <c r="BD439" s="89" t="s">
        <v>797</v>
      </c>
      <c r="BE439" s="89" t="s">
        <v>948</v>
      </c>
      <c r="BF439" s="441"/>
      <c r="BG439" s="441"/>
      <c r="BH439" s="441"/>
      <c r="BI439" s="441"/>
      <c r="BJ439" s="441"/>
      <c r="BK439" s="441"/>
      <c r="BL439" s="89" t="s">
        <v>797</v>
      </c>
      <c r="BM439" s="441"/>
      <c r="BN439" s="441"/>
      <c r="BO439" s="89" t="s">
        <v>797</v>
      </c>
      <c r="BP439" s="441"/>
      <c r="BQ439" s="441"/>
      <c r="BR439" s="441"/>
    </row>
    <row r="440" spans="2:70" ht="14.65" customHeight="1">
      <c r="B440" s="437">
        <f t="shared" si="11"/>
        <v>57</v>
      </c>
      <c r="C440" s="255"/>
      <c r="D440" s="438"/>
      <c r="E440" s="438"/>
      <c r="F440" s="89"/>
      <c r="G440" s="89"/>
      <c r="H440" s="89"/>
      <c r="I440" s="89"/>
      <c r="J440" s="89"/>
      <c r="K440" s="89"/>
      <c r="L440" s="89"/>
      <c r="M440" s="89"/>
      <c r="N440" s="89"/>
      <c r="O440" s="89"/>
      <c r="P440" s="89"/>
      <c r="Q440" s="475" t="s">
        <v>797</v>
      </c>
      <c r="R440" s="89"/>
      <c r="S440" s="89"/>
      <c r="T440" s="89"/>
      <c r="U440" s="89"/>
      <c r="V440" s="89"/>
      <c r="W440" s="89"/>
      <c r="X440" s="89" t="s">
        <v>948</v>
      </c>
      <c r="Y440" s="89"/>
      <c r="Z440" s="89"/>
      <c r="AA440" s="89"/>
      <c r="AB440" s="89"/>
      <c r="AC440" s="89"/>
      <c r="AD440" s="89"/>
      <c r="AE440" s="89"/>
      <c r="AF440" s="89"/>
      <c r="AG440" s="89"/>
      <c r="AH440" s="89"/>
      <c r="AI440" s="89"/>
      <c r="AJ440" s="89"/>
      <c r="AK440" s="89"/>
      <c r="AL440" s="89"/>
      <c r="AM440" s="89"/>
      <c r="AN440" s="89"/>
      <c r="AO440" s="89"/>
      <c r="AP440" s="89"/>
      <c r="AQ440" s="89"/>
      <c r="AR440" s="89"/>
      <c r="AS440" s="89"/>
      <c r="AT440" s="89"/>
      <c r="AU440" s="89"/>
      <c r="AV440" s="89"/>
      <c r="AW440" s="89"/>
      <c r="AX440" s="89"/>
      <c r="AY440" s="89"/>
      <c r="AZ440" s="89"/>
      <c r="BA440" s="89" t="s">
        <v>797</v>
      </c>
      <c r="BB440" s="441"/>
      <c r="BC440" s="441"/>
      <c r="BD440" s="89" t="s">
        <v>797</v>
      </c>
      <c r="BE440" s="89" t="s">
        <v>948</v>
      </c>
      <c r="BF440" s="441"/>
      <c r="BG440" s="441"/>
      <c r="BH440" s="441"/>
      <c r="BI440" s="441"/>
      <c r="BJ440" s="441"/>
      <c r="BK440" s="441"/>
      <c r="BL440" s="89" t="s">
        <v>797</v>
      </c>
      <c r="BM440" s="441"/>
      <c r="BN440" s="441"/>
      <c r="BO440" s="89" t="s">
        <v>797</v>
      </c>
      <c r="BP440" s="441"/>
      <c r="BQ440" s="441"/>
      <c r="BR440" s="441"/>
    </row>
    <row r="441" spans="2:70" ht="14.65" customHeight="1">
      <c r="B441" s="437">
        <f t="shared" si="11"/>
        <v>58</v>
      </c>
      <c r="C441" s="255"/>
      <c r="D441" s="438"/>
      <c r="E441" s="438"/>
      <c r="F441" s="89"/>
      <c r="G441" s="89"/>
      <c r="H441" s="89"/>
      <c r="I441" s="89"/>
      <c r="J441" s="89"/>
      <c r="K441" s="89"/>
      <c r="L441" s="89"/>
      <c r="M441" s="89"/>
      <c r="N441" s="89"/>
      <c r="O441" s="89"/>
      <c r="P441" s="89"/>
      <c r="Q441" s="475" t="s">
        <v>797</v>
      </c>
      <c r="R441" s="89"/>
      <c r="S441" s="89"/>
      <c r="T441" s="89"/>
      <c r="U441" s="89"/>
      <c r="V441" s="89"/>
      <c r="W441" s="89"/>
      <c r="X441" s="89" t="s">
        <v>948</v>
      </c>
      <c r="Y441" s="89"/>
      <c r="Z441" s="89"/>
      <c r="AA441" s="89"/>
      <c r="AB441" s="89"/>
      <c r="AC441" s="89"/>
      <c r="AD441" s="89"/>
      <c r="AE441" s="89"/>
      <c r="AF441" s="89"/>
      <c r="AG441" s="89"/>
      <c r="AH441" s="89"/>
      <c r="AI441" s="89"/>
      <c r="AJ441" s="89"/>
      <c r="AK441" s="89"/>
      <c r="AL441" s="89"/>
      <c r="AM441" s="89"/>
      <c r="AN441" s="89"/>
      <c r="AO441" s="89"/>
      <c r="AP441" s="89"/>
      <c r="AQ441" s="89"/>
      <c r="AR441" s="89"/>
      <c r="AS441" s="89"/>
      <c r="AT441" s="89"/>
      <c r="AU441" s="89"/>
      <c r="AV441" s="89"/>
      <c r="AW441" s="89"/>
      <c r="AX441" s="89"/>
      <c r="AY441" s="89"/>
      <c r="AZ441" s="89"/>
      <c r="BA441" s="89" t="s">
        <v>797</v>
      </c>
      <c r="BB441" s="441"/>
      <c r="BC441" s="441"/>
      <c r="BD441" s="89" t="s">
        <v>797</v>
      </c>
      <c r="BE441" s="89" t="s">
        <v>948</v>
      </c>
      <c r="BF441" s="441"/>
      <c r="BG441" s="441"/>
      <c r="BH441" s="441"/>
      <c r="BI441" s="441"/>
      <c r="BJ441" s="441"/>
      <c r="BK441" s="441"/>
      <c r="BL441" s="89" t="s">
        <v>797</v>
      </c>
      <c r="BM441" s="441"/>
      <c r="BN441" s="441"/>
      <c r="BO441" s="89" t="s">
        <v>797</v>
      </c>
      <c r="BP441" s="441"/>
      <c r="BQ441" s="441"/>
      <c r="BR441" s="441"/>
    </row>
    <row r="442" spans="2:70" ht="14.65" customHeight="1">
      <c r="B442" s="437">
        <f t="shared" si="11"/>
        <v>59</v>
      </c>
      <c r="C442" s="255"/>
      <c r="D442" s="438"/>
      <c r="E442" s="438"/>
      <c r="F442" s="89"/>
      <c r="G442" s="89"/>
      <c r="H442" s="89"/>
      <c r="I442" s="89"/>
      <c r="J442" s="89"/>
      <c r="K442" s="89"/>
      <c r="L442" s="89"/>
      <c r="M442" s="89"/>
      <c r="N442" s="89"/>
      <c r="O442" s="89"/>
      <c r="P442" s="89"/>
      <c r="Q442" s="475" t="s">
        <v>797</v>
      </c>
      <c r="R442" s="89"/>
      <c r="S442" s="89"/>
      <c r="T442" s="89"/>
      <c r="U442" s="89"/>
      <c r="V442" s="89"/>
      <c r="W442" s="89"/>
      <c r="X442" s="89" t="s">
        <v>948</v>
      </c>
      <c r="Y442" s="89"/>
      <c r="Z442" s="89"/>
      <c r="AA442" s="89"/>
      <c r="AB442" s="89"/>
      <c r="AC442" s="89"/>
      <c r="AD442" s="89"/>
      <c r="AE442" s="89"/>
      <c r="AF442" s="89"/>
      <c r="AG442" s="89"/>
      <c r="AH442" s="89"/>
      <c r="AI442" s="89"/>
      <c r="AJ442" s="89"/>
      <c r="AK442" s="89"/>
      <c r="AL442" s="89"/>
      <c r="AM442" s="89"/>
      <c r="AN442" s="89"/>
      <c r="AO442" s="89"/>
      <c r="AP442" s="89"/>
      <c r="AQ442" s="89"/>
      <c r="AR442" s="89"/>
      <c r="AS442" s="89"/>
      <c r="AT442" s="89"/>
      <c r="AU442" s="89"/>
      <c r="AV442" s="89"/>
      <c r="AW442" s="89"/>
      <c r="AX442" s="89"/>
      <c r="AY442" s="89"/>
      <c r="AZ442" s="89"/>
      <c r="BA442" s="89" t="s">
        <v>797</v>
      </c>
      <c r="BB442" s="441"/>
      <c r="BC442" s="441"/>
      <c r="BD442" s="89" t="s">
        <v>797</v>
      </c>
      <c r="BE442" s="89" t="s">
        <v>948</v>
      </c>
      <c r="BF442" s="441"/>
      <c r="BG442" s="441"/>
      <c r="BH442" s="441"/>
      <c r="BI442" s="441"/>
      <c r="BJ442" s="441"/>
      <c r="BK442" s="441"/>
      <c r="BL442" s="89" t="s">
        <v>797</v>
      </c>
      <c r="BM442" s="441"/>
      <c r="BN442" s="441"/>
      <c r="BO442" s="89" t="s">
        <v>797</v>
      </c>
      <c r="BP442" s="441"/>
      <c r="BQ442" s="441"/>
      <c r="BR442" s="441"/>
    </row>
    <row r="443" spans="2:70" ht="14.65" customHeight="1">
      <c r="B443" s="437">
        <f t="shared" si="11"/>
        <v>60</v>
      </c>
      <c r="C443" s="255"/>
      <c r="D443" s="438"/>
      <c r="E443" s="438"/>
      <c r="F443" s="89"/>
      <c r="G443" s="89"/>
      <c r="H443" s="89"/>
      <c r="I443" s="89"/>
      <c r="J443" s="89"/>
      <c r="K443" s="89"/>
      <c r="L443" s="89"/>
      <c r="M443" s="89"/>
      <c r="N443" s="89"/>
      <c r="O443" s="89"/>
      <c r="P443" s="89"/>
      <c r="Q443" s="475" t="s">
        <v>797</v>
      </c>
      <c r="R443" s="89"/>
      <c r="S443" s="89"/>
      <c r="T443" s="89"/>
      <c r="U443" s="89"/>
      <c r="V443" s="89"/>
      <c r="W443" s="89"/>
      <c r="X443" s="89" t="s">
        <v>948</v>
      </c>
      <c r="Y443" s="89"/>
      <c r="Z443" s="89"/>
      <c r="AA443" s="89"/>
      <c r="AB443" s="89"/>
      <c r="AC443" s="89"/>
      <c r="AD443" s="89"/>
      <c r="AE443" s="89"/>
      <c r="AF443" s="89"/>
      <c r="AG443" s="89"/>
      <c r="AH443" s="89"/>
      <c r="AI443" s="89"/>
      <c r="AJ443" s="89"/>
      <c r="AK443" s="89"/>
      <c r="AL443" s="89"/>
      <c r="AM443" s="89"/>
      <c r="AN443" s="89"/>
      <c r="AO443" s="89"/>
      <c r="AP443" s="89"/>
      <c r="AQ443" s="89"/>
      <c r="AR443" s="89"/>
      <c r="AS443" s="89"/>
      <c r="AT443" s="89"/>
      <c r="AU443" s="89"/>
      <c r="AV443" s="89"/>
      <c r="AW443" s="89"/>
      <c r="AX443" s="89"/>
      <c r="AY443" s="89"/>
      <c r="AZ443" s="89"/>
      <c r="BA443" s="89" t="s">
        <v>797</v>
      </c>
      <c r="BB443" s="441"/>
      <c r="BC443" s="441"/>
      <c r="BD443" s="89" t="s">
        <v>797</v>
      </c>
      <c r="BE443" s="89" t="s">
        <v>948</v>
      </c>
      <c r="BF443" s="441"/>
      <c r="BG443" s="441"/>
      <c r="BH443" s="441"/>
      <c r="BI443" s="441"/>
      <c r="BJ443" s="441"/>
      <c r="BK443" s="441"/>
      <c r="BL443" s="89" t="s">
        <v>797</v>
      </c>
      <c r="BM443" s="441"/>
      <c r="BN443" s="441"/>
      <c r="BO443" s="89" t="s">
        <v>797</v>
      </c>
      <c r="BP443" s="441"/>
      <c r="BQ443" s="441"/>
      <c r="BR443" s="441"/>
    </row>
    <row r="444" spans="2:70" ht="14.65" customHeight="1">
      <c r="B444" s="437">
        <f t="shared" si="11"/>
        <v>61</v>
      </c>
      <c r="C444" s="255"/>
      <c r="D444" s="438"/>
      <c r="E444" s="438"/>
      <c r="F444" s="89"/>
      <c r="G444" s="89"/>
      <c r="H444" s="89"/>
      <c r="I444" s="89"/>
      <c r="J444" s="89"/>
      <c r="K444" s="89"/>
      <c r="L444" s="89"/>
      <c r="M444" s="89"/>
      <c r="N444" s="89"/>
      <c r="O444" s="89"/>
      <c r="P444" s="89"/>
      <c r="Q444" s="475" t="s">
        <v>797</v>
      </c>
      <c r="R444" s="89"/>
      <c r="S444" s="89"/>
      <c r="T444" s="89"/>
      <c r="U444" s="89"/>
      <c r="V444" s="89"/>
      <c r="W444" s="89"/>
      <c r="X444" s="89" t="s">
        <v>948</v>
      </c>
      <c r="Y444" s="89"/>
      <c r="Z444" s="89"/>
      <c r="AA444" s="89"/>
      <c r="AB444" s="89"/>
      <c r="AC444" s="89"/>
      <c r="AD444" s="89"/>
      <c r="AE444" s="89"/>
      <c r="AF444" s="89"/>
      <c r="AG444" s="89"/>
      <c r="AH444" s="89"/>
      <c r="AI444" s="89"/>
      <c r="AJ444" s="89"/>
      <c r="AK444" s="89"/>
      <c r="AL444" s="89"/>
      <c r="AM444" s="89"/>
      <c r="AN444" s="89"/>
      <c r="AO444" s="89"/>
      <c r="AP444" s="89"/>
      <c r="AQ444" s="89"/>
      <c r="AR444" s="89"/>
      <c r="AS444" s="89"/>
      <c r="AT444" s="89"/>
      <c r="AU444" s="89"/>
      <c r="AV444" s="89"/>
      <c r="AW444" s="89"/>
      <c r="AX444" s="89"/>
      <c r="AY444" s="89"/>
      <c r="AZ444" s="89"/>
      <c r="BA444" s="89" t="s">
        <v>797</v>
      </c>
      <c r="BB444" s="441"/>
      <c r="BC444" s="441"/>
      <c r="BD444" s="89" t="s">
        <v>797</v>
      </c>
      <c r="BE444" s="89" t="s">
        <v>948</v>
      </c>
      <c r="BF444" s="441"/>
      <c r="BG444" s="441"/>
      <c r="BH444" s="441"/>
      <c r="BI444" s="441"/>
      <c r="BJ444" s="441"/>
      <c r="BK444" s="441"/>
      <c r="BL444" s="89" t="s">
        <v>797</v>
      </c>
      <c r="BM444" s="441"/>
      <c r="BN444" s="441"/>
      <c r="BO444" s="89" t="s">
        <v>797</v>
      </c>
      <c r="BP444" s="441"/>
      <c r="BQ444" s="441"/>
      <c r="BR444" s="441"/>
    </row>
    <row r="445" spans="2:70" ht="14.65" customHeight="1">
      <c r="B445" s="437">
        <f t="shared" si="11"/>
        <v>62</v>
      </c>
      <c r="C445" s="255"/>
      <c r="D445" s="438"/>
      <c r="E445" s="438"/>
      <c r="F445" s="89"/>
      <c r="G445" s="89"/>
      <c r="H445" s="89"/>
      <c r="I445" s="89"/>
      <c r="J445" s="89"/>
      <c r="K445" s="89"/>
      <c r="L445" s="89"/>
      <c r="M445" s="89"/>
      <c r="N445" s="89"/>
      <c r="O445" s="89"/>
      <c r="P445" s="89"/>
      <c r="Q445" s="475" t="s">
        <v>797</v>
      </c>
      <c r="R445" s="89"/>
      <c r="S445" s="89"/>
      <c r="T445" s="89"/>
      <c r="U445" s="89"/>
      <c r="V445" s="89"/>
      <c r="W445" s="89"/>
      <c r="X445" s="89" t="s">
        <v>948</v>
      </c>
      <c r="Y445" s="89"/>
      <c r="Z445" s="89"/>
      <c r="AA445" s="89"/>
      <c r="AB445" s="89"/>
      <c r="AC445" s="89"/>
      <c r="AD445" s="89"/>
      <c r="AE445" s="89"/>
      <c r="AF445" s="89"/>
      <c r="AG445" s="89"/>
      <c r="AH445" s="89"/>
      <c r="AI445" s="89"/>
      <c r="AJ445" s="89"/>
      <c r="AK445" s="89"/>
      <c r="AL445" s="89"/>
      <c r="AM445" s="89"/>
      <c r="AN445" s="89"/>
      <c r="AO445" s="89"/>
      <c r="AP445" s="89"/>
      <c r="AQ445" s="89"/>
      <c r="AR445" s="89"/>
      <c r="AS445" s="89"/>
      <c r="AT445" s="89"/>
      <c r="AU445" s="89"/>
      <c r="AV445" s="89"/>
      <c r="AW445" s="89"/>
      <c r="AX445" s="89"/>
      <c r="AY445" s="89"/>
      <c r="AZ445" s="89"/>
      <c r="BA445" s="89" t="s">
        <v>797</v>
      </c>
      <c r="BB445" s="441"/>
      <c r="BC445" s="441"/>
      <c r="BD445" s="89" t="s">
        <v>797</v>
      </c>
      <c r="BE445" s="89" t="s">
        <v>948</v>
      </c>
      <c r="BF445" s="441"/>
      <c r="BG445" s="441"/>
      <c r="BH445" s="441"/>
      <c r="BI445" s="441"/>
      <c r="BJ445" s="441"/>
      <c r="BK445" s="441"/>
      <c r="BL445" s="89" t="s">
        <v>797</v>
      </c>
      <c r="BM445" s="441"/>
      <c r="BN445" s="441"/>
      <c r="BO445" s="89" t="s">
        <v>797</v>
      </c>
      <c r="BP445" s="441"/>
      <c r="BQ445" s="441"/>
      <c r="BR445" s="441"/>
    </row>
    <row r="446" spans="2:70" ht="14.65" customHeight="1">
      <c r="B446" s="437">
        <f t="shared" si="11"/>
        <v>63</v>
      </c>
      <c r="C446" s="255"/>
      <c r="D446" s="438"/>
      <c r="E446" s="438"/>
      <c r="F446" s="89"/>
      <c r="G446" s="89"/>
      <c r="H446" s="89"/>
      <c r="I446" s="89"/>
      <c r="J446" s="89"/>
      <c r="K446" s="89"/>
      <c r="L446" s="89"/>
      <c r="M446" s="89"/>
      <c r="N446" s="89"/>
      <c r="O446" s="89"/>
      <c r="P446" s="89"/>
      <c r="Q446" s="475" t="s">
        <v>797</v>
      </c>
      <c r="R446" s="89"/>
      <c r="S446" s="89"/>
      <c r="T446" s="89"/>
      <c r="U446" s="89"/>
      <c r="V446" s="89"/>
      <c r="W446" s="89"/>
      <c r="X446" s="89" t="s">
        <v>948</v>
      </c>
      <c r="Y446" s="89"/>
      <c r="Z446" s="89"/>
      <c r="AA446" s="89"/>
      <c r="AB446" s="89"/>
      <c r="AC446" s="89"/>
      <c r="AD446" s="89"/>
      <c r="AE446" s="89"/>
      <c r="AF446" s="89"/>
      <c r="AG446" s="89"/>
      <c r="AH446" s="89"/>
      <c r="AI446" s="89"/>
      <c r="AJ446" s="89"/>
      <c r="AK446" s="89"/>
      <c r="AL446" s="89"/>
      <c r="AM446" s="89"/>
      <c r="AN446" s="89"/>
      <c r="AO446" s="89"/>
      <c r="AP446" s="89"/>
      <c r="AQ446" s="89"/>
      <c r="AR446" s="89"/>
      <c r="AS446" s="89"/>
      <c r="AT446" s="89"/>
      <c r="AU446" s="89"/>
      <c r="AV446" s="89"/>
      <c r="AW446" s="89"/>
      <c r="AX446" s="89"/>
      <c r="AY446" s="89"/>
      <c r="AZ446" s="89"/>
      <c r="BA446" s="89" t="s">
        <v>797</v>
      </c>
      <c r="BB446" s="441"/>
      <c r="BC446" s="441"/>
      <c r="BD446" s="89" t="s">
        <v>797</v>
      </c>
      <c r="BE446" s="89" t="s">
        <v>948</v>
      </c>
      <c r="BF446" s="441"/>
      <c r="BG446" s="441"/>
      <c r="BH446" s="441"/>
      <c r="BI446" s="441"/>
      <c r="BJ446" s="441"/>
      <c r="BK446" s="441"/>
      <c r="BL446" s="89" t="s">
        <v>797</v>
      </c>
      <c r="BM446" s="441"/>
      <c r="BN446" s="441"/>
      <c r="BO446" s="89" t="s">
        <v>797</v>
      </c>
      <c r="BP446" s="441"/>
      <c r="BQ446" s="441"/>
      <c r="BR446" s="441"/>
    </row>
    <row r="447" spans="2:70" ht="14.65" customHeight="1">
      <c r="B447" s="437">
        <f t="shared" si="11"/>
        <v>64</v>
      </c>
      <c r="C447" s="255"/>
      <c r="D447" s="438"/>
      <c r="E447" s="438"/>
      <c r="F447" s="89"/>
      <c r="G447" s="89"/>
      <c r="H447" s="89"/>
      <c r="I447" s="89"/>
      <c r="J447" s="89"/>
      <c r="K447" s="89"/>
      <c r="L447" s="89"/>
      <c r="M447" s="89"/>
      <c r="N447" s="89"/>
      <c r="O447" s="89"/>
      <c r="P447" s="89"/>
      <c r="Q447" s="475" t="s">
        <v>797</v>
      </c>
      <c r="R447" s="89"/>
      <c r="S447" s="89"/>
      <c r="T447" s="89"/>
      <c r="U447" s="89"/>
      <c r="V447" s="89"/>
      <c r="W447" s="89"/>
      <c r="X447" s="89" t="s">
        <v>948</v>
      </c>
      <c r="Y447" s="89"/>
      <c r="Z447" s="89"/>
      <c r="AA447" s="89"/>
      <c r="AB447" s="89"/>
      <c r="AC447" s="89"/>
      <c r="AD447" s="89"/>
      <c r="AE447" s="89"/>
      <c r="AF447" s="89"/>
      <c r="AG447" s="89"/>
      <c r="AH447" s="89"/>
      <c r="AI447" s="89"/>
      <c r="AJ447" s="89"/>
      <c r="AK447" s="89"/>
      <c r="AL447" s="89"/>
      <c r="AM447" s="89"/>
      <c r="AN447" s="89"/>
      <c r="AO447" s="89"/>
      <c r="AP447" s="89"/>
      <c r="AQ447" s="89"/>
      <c r="AR447" s="89"/>
      <c r="AS447" s="89"/>
      <c r="AT447" s="89"/>
      <c r="AU447" s="89"/>
      <c r="AV447" s="89"/>
      <c r="AW447" s="89"/>
      <c r="AX447" s="89"/>
      <c r="AY447" s="89"/>
      <c r="AZ447" s="89"/>
      <c r="BA447" s="89" t="s">
        <v>797</v>
      </c>
      <c r="BB447" s="441"/>
      <c r="BC447" s="441"/>
      <c r="BD447" s="89" t="s">
        <v>797</v>
      </c>
      <c r="BE447" s="89" t="s">
        <v>948</v>
      </c>
      <c r="BF447" s="441"/>
      <c r="BG447" s="441"/>
      <c r="BH447" s="441"/>
      <c r="BI447" s="441"/>
      <c r="BJ447" s="441"/>
      <c r="BK447" s="441"/>
      <c r="BL447" s="89" t="s">
        <v>797</v>
      </c>
      <c r="BM447" s="441"/>
      <c r="BN447" s="441"/>
      <c r="BO447" s="89" t="s">
        <v>797</v>
      </c>
      <c r="BP447" s="441"/>
      <c r="BQ447" s="441"/>
      <c r="BR447" s="441"/>
    </row>
    <row r="448" spans="2:70" ht="14.65" customHeight="1">
      <c r="B448" s="437">
        <f t="shared" si="11"/>
        <v>65</v>
      </c>
      <c r="C448" s="255"/>
      <c r="D448" s="438"/>
      <c r="E448" s="438"/>
      <c r="F448" s="89"/>
      <c r="G448" s="89"/>
      <c r="H448" s="89"/>
      <c r="I448" s="89"/>
      <c r="J448" s="89"/>
      <c r="K448" s="89"/>
      <c r="L448" s="89"/>
      <c r="M448" s="89"/>
      <c r="N448" s="89"/>
      <c r="O448" s="89"/>
      <c r="P448" s="89"/>
      <c r="Q448" s="475" t="s">
        <v>797</v>
      </c>
      <c r="R448" s="89"/>
      <c r="S448" s="89"/>
      <c r="T448" s="89"/>
      <c r="U448" s="89"/>
      <c r="V448" s="89"/>
      <c r="W448" s="89"/>
      <c r="X448" s="89" t="s">
        <v>948</v>
      </c>
      <c r="Y448" s="89"/>
      <c r="Z448" s="89"/>
      <c r="AA448" s="89"/>
      <c r="AB448" s="89"/>
      <c r="AC448" s="89"/>
      <c r="AD448" s="89"/>
      <c r="AE448" s="89"/>
      <c r="AF448" s="89"/>
      <c r="AG448" s="89"/>
      <c r="AH448" s="89"/>
      <c r="AI448" s="89"/>
      <c r="AJ448" s="89"/>
      <c r="AK448" s="89"/>
      <c r="AL448" s="89"/>
      <c r="AM448" s="89"/>
      <c r="AN448" s="89"/>
      <c r="AO448" s="89"/>
      <c r="AP448" s="89"/>
      <c r="AQ448" s="89"/>
      <c r="AR448" s="89"/>
      <c r="AS448" s="89"/>
      <c r="AT448" s="89"/>
      <c r="AU448" s="89"/>
      <c r="AV448" s="89"/>
      <c r="AW448" s="89"/>
      <c r="AX448" s="89"/>
      <c r="AY448" s="89"/>
      <c r="AZ448" s="89"/>
      <c r="BA448" s="89" t="s">
        <v>797</v>
      </c>
      <c r="BB448" s="441"/>
      <c r="BC448" s="441"/>
      <c r="BD448" s="89" t="s">
        <v>797</v>
      </c>
      <c r="BE448" s="89" t="s">
        <v>948</v>
      </c>
      <c r="BF448" s="441"/>
      <c r="BG448" s="441"/>
      <c r="BH448" s="441"/>
      <c r="BI448" s="441"/>
      <c r="BJ448" s="441"/>
      <c r="BK448" s="441"/>
      <c r="BL448" s="89" t="s">
        <v>797</v>
      </c>
      <c r="BM448" s="441"/>
      <c r="BN448" s="441"/>
      <c r="BO448" s="89" t="s">
        <v>797</v>
      </c>
      <c r="BP448" s="441"/>
      <c r="BQ448" s="441"/>
      <c r="BR448" s="441"/>
    </row>
    <row r="449" spans="2:70" ht="14.65" customHeight="1">
      <c r="B449" s="437">
        <f t="shared" ref="B449:B461" si="14">1+B448</f>
        <v>66</v>
      </c>
      <c r="C449" s="255"/>
      <c r="D449" s="438"/>
      <c r="E449" s="438"/>
      <c r="F449" s="89"/>
      <c r="G449" s="89"/>
      <c r="H449" s="89"/>
      <c r="I449" s="89"/>
      <c r="J449" s="89"/>
      <c r="K449" s="89"/>
      <c r="L449" s="89"/>
      <c r="M449" s="89"/>
      <c r="N449" s="89"/>
      <c r="O449" s="89"/>
      <c r="P449" s="89"/>
      <c r="Q449" s="475" t="s">
        <v>797</v>
      </c>
      <c r="R449" s="89"/>
      <c r="S449" s="89"/>
      <c r="T449" s="89"/>
      <c r="U449" s="89"/>
      <c r="V449" s="89"/>
      <c r="W449" s="89"/>
      <c r="X449" s="89" t="s">
        <v>948</v>
      </c>
      <c r="Y449" s="89"/>
      <c r="Z449" s="89"/>
      <c r="AA449" s="89"/>
      <c r="AB449" s="89"/>
      <c r="AC449" s="89"/>
      <c r="AD449" s="89"/>
      <c r="AE449" s="89"/>
      <c r="AF449" s="89"/>
      <c r="AG449" s="89"/>
      <c r="AH449" s="89"/>
      <c r="AI449" s="89"/>
      <c r="AJ449" s="89"/>
      <c r="AK449" s="89"/>
      <c r="AL449" s="89"/>
      <c r="AM449" s="89"/>
      <c r="AN449" s="89"/>
      <c r="AO449" s="89"/>
      <c r="AP449" s="89"/>
      <c r="AQ449" s="89"/>
      <c r="AR449" s="89"/>
      <c r="AS449" s="89"/>
      <c r="AT449" s="89"/>
      <c r="AU449" s="89"/>
      <c r="AV449" s="89"/>
      <c r="AW449" s="89"/>
      <c r="AX449" s="89"/>
      <c r="AY449" s="89"/>
      <c r="AZ449" s="89"/>
      <c r="BA449" s="89" t="s">
        <v>797</v>
      </c>
      <c r="BB449" s="441"/>
      <c r="BC449" s="441"/>
      <c r="BD449" s="89" t="s">
        <v>797</v>
      </c>
      <c r="BE449" s="89" t="s">
        <v>948</v>
      </c>
      <c r="BF449" s="441"/>
      <c r="BG449" s="441"/>
      <c r="BH449" s="441"/>
      <c r="BI449" s="441"/>
      <c r="BJ449" s="441"/>
      <c r="BK449" s="441"/>
      <c r="BL449" s="89" t="s">
        <v>797</v>
      </c>
      <c r="BM449" s="441"/>
      <c r="BN449" s="441"/>
      <c r="BO449" s="89" t="s">
        <v>797</v>
      </c>
      <c r="BP449" s="441"/>
      <c r="BQ449" s="441"/>
      <c r="BR449" s="441"/>
    </row>
    <row r="450" spans="2:70" ht="14.65" customHeight="1">
      <c r="B450" s="437">
        <f t="shared" si="14"/>
        <v>67</v>
      </c>
      <c r="C450" s="255"/>
      <c r="D450" s="438"/>
      <c r="E450" s="438"/>
      <c r="F450" s="89"/>
      <c r="G450" s="89"/>
      <c r="H450" s="89"/>
      <c r="I450" s="89"/>
      <c r="J450" s="89"/>
      <c r="K450" s="89"/>
      <c r="L450" s="89"/>
      <c r="M450" s="89"/>
      <c r="N450" s="89"/>
      <c r="O450" s="89"/>
      <c r="P450" s="89"/>
      <c r="Q450" s="475" t="s">
        <v>797</v>
      </c>
      <c r="R450" s="89"/>
      <c r="S450" s="89"/>
      <c r="T450" s="89"/>
      <c r="U450" s="89"/>
      <c r="V450" s="89"/>
      <c r="W450" s="89"/>
      <c r="X450" s="89" t="s">
        <v>948</v>
      </c>
      <c r="Y450" s="89"/>
      <c r="Z450" s="89"/>
      <c r="AA450" s="89"/>
      <c r="AB450" s="89"/>
      <c r="AC450" s="89"/>
      <c r="AD450" s="89"/>
      <c r="AE450" s="89"/>
      <c r="AF450" s="89"/>
      <c r="AG450" s="89"/>
      <c r="AH450" s="89"/>
      <c r="AI450" s="89"/>
      <c r="AJ450" s="89"/>
      <c r="AK450" s="89"/>
      <c r="AL450" s="89"/>
      <c r="AM450" s="89"/>
      <c r="AN450" s="89"/>
      <c r="AO450" s="89"/>
      <c r="AP450" s="89"/>
      <c r="AQ450" s="89"/>
      <c r="AR450" s="89"/>
      <c r="AS450" s="89"/>
      <c r="AT450" s="89"/>
      <c r="AU450" s="89"/>
      <c r="AV450" s="89"/>
      <c r="AW450" s="89"/>
      <c r="AX450" s="89"/>
      <c r="AY450" s="89"/>
      <c r="AZ450" s="89"/>
      <c r="BA450" s="89" t="s">
        <v>797</v>
      </c>
      <c r="BB450" s="441"/>
      <c r="BC450" s="441"/>
      <c r="BD450" s="89" t="s">
        <v>797</v>
      </c>
      <c r="BE450" s="89" t="s">
        <v>948</v>
      </c>
      <c r="BF450" s="441"/>
      <c r="BG450" s="441"/>
      <c r="BH450" s="441"/>
      <c r="BI450" s="441"/>
      <c r="BJ450" s="441"/>
      <c r="BK450" s="441"/>
      <c r="BL450" s="89" t="s">
        <v>797</v>
      </c>
      <c r="BM450" s="441"/>
      <c r="BN450" s="441"/>
      <c r="BO450" s="89" t="s">
        <v>797</v>
      </c>
      <c r="BP450" s="441"/>
      <c r="BQ450" s="441"/>
      <c r="BR450" s="441"/>
    </row>
    <row r="451" spans="2:70" ht="14.65" customHeight="1">
      <c r="B451" s="437">
        <f t="shared" si="14"/>
        <v>68</v>
      </c>
      <c r="C451" s="255"/>
      <c r="D451" s="438"/>
      <c r="E451" s="438"/>
      <c r="F451" s="89"/>
      <c r="G451" s="89"/>
      <c r="H451" s="89"/>
      <c r="I451" s="89"/>
      <c r="J451" s="89"/>
      <c r="K451" s="89"/>
      <c r="L451" s="89"/>
      <c r="M451" s="89"/>
      <c r="N451" s="89"/>
      <c r="O451" s="89"/>
      <c r="P451" s="89"/>
      <c r="Q451" s="475" t="s">
        <v>797</v>
      </c>
      <c r="R451" s="89"/>
      <c r="S451" s="89"/>
      <c r="T451" s="89"/>
      <c r="U451" s="89"/>
      <c r="V451" s="89"/>
      <c r="W451" s="89"/>
      <c r="X451" s="89" t="s">
        <v>948</v>
      </c>
      <c r="Y451" s="89"/>
      <c r="Z451" s="89"/>
      <c r="AA451" s="89"/>
      <c r="AB451" s="89"/>
      <c r="AC451" s="89"/>
      <c r="AD451" s="89"/>
      <c r="AE451" s="89"/>
      <c r="AF451" s="89"/>
      <c r="AG451" s="89"/>
      <c r="AH451" s="89"/>
      <c r="AI451" s="89"/>
      <c r="AJ451" s="89"/>
      <c r="AK451" s="89"/>
      <c r="AL451" s="89"/>
      <c r="AM451" s="89"/>
      <c r="AN451" s="89"/>
      <c r="AO451" s="89"/>
      <c r="AP451" s="89"/>
      <c r="AQ451" s="89"/>
      <c r="AR451" s="89"/>
      <c r="AS451" s="89"/>
      <c r="AT451" s="89"/>
      <c r="AU451" s="89"/>
      <c r="AV451" s="89"/>
      <c r="AW451" s="89"/>
      <c r="AX451" s="89"/>
      <c r="AY451" s="89"/>
      <c r="AZ451" s="89"/>
      <c r="BA451" s="89" t="s">
        <v>797</v>
      </c>
      <c r="BB451" s="441"/>
      <c r="BC451" s="441"/>
      <c r="BD451" s="89" t="s">
        <v>797</v>
      </c>
      <c r="BE451" s="89" t="s">
        <v>948</v>
      </c>
      <c r="BF451" s="441"/>
      <c r="BG451" s="441"/>
      <c r="BH451" s="441"/>
      <c r="BI451" s="441"/>
      <c r="BJ451" s="441"/>
      <c r="BK451" s="441"/>
      <c r="BL451" s="89" t="s">
        <v>797</v>
      </c>
      <c r="BM451" s="441"/>
      <c r="BN451" s="441"/>
      <c r="BO451" s="89" t="s">
        <v>797</v>
      </c>
      <c r="BP451" s="441"/>
      <c r="BQ451" s="441"/>
      <c r="BR451" s="441"/>
    </row>
    <row r="452" spans="2:70" ht="14.65" customHeight="1">
      <c r="B452" s="437">
        <f t="shared" si="14"/>
        <v>69</v>
      </c>
      <c r="C452" s="255"/>
      <c r="D452" s="438"/>
      <c r="E452" s="438"/>
      <c r="F452" s="89"/>
      <c r="G452" s="89"/>
      <c r="H452" s="89"/>
      <c r="I452" s="89"/>
      <c r="J452" s="89"/>
      <c r="K452" s="89"/>
      <c r="L452" s="89"/>
      <c r="M452" s="89"/>
      <c r="N452" s="89"/>
      <c r="O452" s="89"/>
      <c r="P452" s="89"/>
      <c r="Q452" s="475" t="s">
        <v>797</v>
      </c>
      <c r="R452" s="89"/>
      <c r="S452" s="89"/>
      <c r="T452" s="89"/>
      <c r="U452" s="89"/>
      <c r="V452" s="89"/>
      <c r="W452" s="89"/>
      <c r="X452" s="89" t="s">
        <v>948</v>
      </c>
      <c r="Y452" s="89"/>
      <c r="Z452" s="89"/>
      <c r="AA452" s="89"/>
      <c r="AB452" s="89"/>
      <c r="AC452" s="89"/>
      <c r="AD452" s="89"/>
      <c r="AE452" s="89"/>
      <c r="AF452" s="89"/>
      <c r="AG452" s="89"/>
      <c r="AH452" s="89"/>
      <c r="AI452" s="89"/>
      <c r="AJ452" s="89"/>
      <c r="AK452" s="89"/>
      <c r="AL452" s="89"/>
      <c r="AM452" s="89"/>
      <c r="AN452" s="89"/>
      <c r="AO452" s="89"/>
      <c r="AP452" s="89"/>
      <c r="AQ452" s="89"/>
      <c r="AR452" s="89"/>
      <c r="AS452" s="89"/>
      <c r="AT452" s="89"/>
      <c r="AU452" s="89"/>
      <c r="AV452" s="89"/>
      <c r="AW452" s="89"/>
      <c r="AX452" s="89"/>
      <c r="AY452" s="89"/>
      <c r="AZ452" s="89"/>
      <c r="BA452" s="89" t="s">
        <v>797</v>
      </c>
      <c r="BB452" s="441"/>
      <c r="BC452" s="441"/>
      <c r="BD452" s="89" t="s">
        <v>797</v>
      </c>
      <c r="BE452" s="89" t="s">
        <v>948</v>
      </c>
      <c r="BF452" s="441"/>
      <c r="BG452" s="441"/>
      <c r="BH452" s="441"/>
      <c r="BI452" s="441"/>
      <c r="BJ452" s="441"/>
      <c r="BK452" s="441"/>
      <c r="BL452" s="89" t="s">
        <v>797</v>
      </c>
      <c r="BM452" s="441"/>
      <c r="BN452" s="441"/>
      <c r="BO452" s="89" t="s">
        <v>797</v>
      </c>
      <c r="BP452" s="441"/>
      <c r="BQ452" s="441"/>
      <c r="BR452" s="441"/>
    </row>
    <row r="453" spans="2:70" ht="14.65" customHeight="1">
      <c r="B453" s="437">
        <f t="shared" si="14"/>
        <v>70</v>
      </c>
      <c r="C453" s="255"/>
      <c r="D453" s="438"/>
      <c r="E453" s="438"/>
      <c r="F453" s="89"/>
      <c r="G453" s="89"/>
      <c r="H453" s="89"/>
      <c r="I453" s="89"/>
      <c r="J453" s="89"/>
      <c r="K453" s="89"/>
      <c r="L453" s="89"/>
      <c r="M453" s="89"/>
      <c r="N453" s="89"/>
      <c r="O453" s="89"/>
      <c r="P453" s="89"/>
      <c r="Q453" s="475" t="s">
        <v>797</v>
      </c>
      <c r="R453" s="89"/>
      <c r="S453" s="89"/>
      <c r="T453" s="89"/>
      <c r="U453" s="89"/>
      <c r="V453" s="89"/>
      <c r="W453" s="89"/>
      <c r="X453" s="89" t="s">
        <v>948</v>
      </c>
      <c r="Y453" s="89"/>
      <c r="Z453" s="89"/>
      <c r="AA453" s="89"/>
      <c r="AB453" s="89"/>
      <c r="AC453" s="89"/>
      <c r="AD453" s="89"/>
      <c r="AE453" s="89"/>
      <c r="AF453" s="89"/>
      <c r="AG453" s="89"/>
      <c r="AH453" s="89"/>
      <c r="AI453" s="89"/>
      <c r="AJ453" s="89"/>
      <c r="AK453" s="89"/>
      <c r="AL453" s="89"/>
      <c r="AM453" s="89"/>
      <c r="AN453" s="89"/>
      <c r="AO453" s="89"/>
      <c r="AP453" s="89"/>
      <c r="AQ453" s="89"/>
      <c r="AR453" s="89"/>
      <c r="AS453" s="89"/>
      <c r="AT453" s="89"/>
      <c r="AU453" s="89"/>
      <c r="AV453" s="89"/>
      <c r="AW453" s="89"/>
      <c r="AX453" s="89"/>
      <c r="AY453" s="89"/>
      <c r="AZ453" s="89"/>
      <c r="BA453" s="89" t="s">
        <v>797</v>
      </c>
      <c r="BB453" s="441"/>
      <c r="BC453" s="441"/>
      <c r="BD453" s="89" t="s">
        <v>797</v>
      </c>
      <c r="BE453" s="89" t="s">
        <v>948</v>
      </c>
      <c r="BF453" s="441"/>
      <c r="BG453" s="441"/>
      <c r="BH453" s="441"/>
      <c r="BI453" s="441"/>
      <c r="BJ453" s="441"/>
      <c r="BK453" s="441"/>
      <c r="BL453" s="89" t="s">
        <v>797</v>
      </c>
      <c r="BM453" s="441"/>
      <c r="BN453" s="441"/>
      <c r="BO453" s="89" t="s">
        <v>797</v>
      </c>
      <c r="BP453" s="441"/>
      <c r="BQ453" s="441"/>
      <c r="BR453" s="441"/>
    </row>
    <row r="454" spans="2:70" ht="14.65" customHeight="1">
      <c r="B454" s="437">
        <f t="shared" si="14"/>
        <v>71</v>
      </c>
      <c r="C454" s="255"/>
      <c r="D454" s="438"/>
      <c r="E454" s="438"/>
      <c r="F454" s="89"/>
      <c r="G454" s="89"/>
      <c r="H454" s="89"/>
      <c r="I454" s="89"/>
      <c r="J454" s="89"/>
      <c r="K454" s="89"/>
      <c r="L454" s="89"/>
      <c r="M454" s="89"/>
      <c r="N454" s="89"/>
      <c r="O454" s="89"/>
      <c r="P454" s="89"/>
      <c r="Q454" s="475" t="s">
        <v>797</v>
      </c>
      <c r="R454" s="89"/>
      <c r="S454" s="89"/>
      <c r="T454" s="89"/>
      <c r="U454" s="89"/>
      <c r="V454" s="89"/>
      <c r="W454" s="89"/>
      <c r="X454" s="89" t="s">
        <v>948</v>
      </c>
      <c r="Y454" s="89"/>
      <c r="Z454" s="89"/>
      <c r="AA454" s="89"/>
      <c r="AB454" s="89"/>
      <c r="AC454" s="89"/>
      <c r="AD454" s="89"/>
      <c r="AE454" s="89"/>
      <c r="AF454" s="89"/>
      <c r="AG454" s="89"/>
      <c r="AH454" s="89"/>
      <c r="AI454" s="89"/>
      <c r="AJ454" s="89"/>
      <c r="AK454" s="89"/>
      <c r="AL454" s="89"/>
      <c r="AM454" s="89"/>
      <c r="AN454" s="89"/>
      <c r="AO454" s="89"/>
      <c r="AP454" s="89"/>
      <c r="AQ454" s="89"/>
      <c r="AR454" s="89"/>
      <c r="AS454" s="89"/>
      <c r="AT454" s="89"/>
      <c r="AU454" s="89"/>
      <c r="AV454" s="89"/>
      <c r="AW454" s="89"/>
      <c r="AX454" s="89"/>
      <c r="AY454" s="89"/>
      <c r="AZ454" s="89"/>
      <c r="BA454" s="89" t="s">
        <v>797</v>
      </c>
      <c r="BB454" s="441"/>
      <c r="BC454" s="441"/>
      <c r="BD454" s="89" t="s">
        <v>797</v>
      </c>
      <c r="BE454" s="89" t="s">
        <v>948</v>
      </c>
      <c r="BF454" s="441"/>
      <c r="BG454" s="441"/>
      <c r="BH454" s="441"/>
      <c r="BI454" s="441"/>
      <c r="BJ454" s="441"/>
      <c r="BK454" s="441"/>
      <c r="BL454" s="89" t="s">
        <v>797</v>
      </c>
      <c r="BM454" s="441"/>
      <c r="BN454" s="441"/>
      <c r="BO454" s="89" t="s">
        <v>797</v>
      </c>
      <c r="BP454" s="441"/>
      <c r="BQ454" s="441"/>
      <c r="BR454" s="441"/>
    </row>
    <row r="455" spans="2:70" ht="14.65" customHeight="1">
      <c r="B455" s="437">
        <f t="shared" si="14"/>
        <v>72</v>
      </c>
      <c r="C455" s="255"/>
      <c r="D455" s="438"/>
      <c r="E455" s="438"/>
      <c r="F455" s="89"/>
      <c r="G455" s="89"/>
      <c r="H455" s="89"/>
      <c r="I455" s="89"/>
      <c r="J455" s="89"/>
      <c r="K455" s="89"/>
      <c r="L455" s="89"/>
      <c r="M455" s="89"/>
      <c r="N455" s="89"/>
      <c r="O455" s="89"/>
      <c r="P455" s="89"/>
      <c r="Q455" s="475" t="s">
        <v>797</v>
      </c>
      <c r="R455" s="89"/>
      <c r="S455" s="89"/>
      <c r="T455" s="89"/>
      <c r="U455" s="89"/>
      <c r="V455" s="89"/>
      <c r="W455" s="89"/>
      <c r="X455" s="89" t="s">
        <v>948</v>
      </c>
      <c r="Y455" s="89"/>
      <c r="Z455" s="89"/>
      <c r="AA455" s="89"/>
      <c r="AB455" s="89"/>
      <c r="AC455" s="89"/>
      <c r="AD455" s="89"/>
      <c r="AE455" s="89"/>
      <c r="AF455" s="89"/>
      <c r="AG455" s="89"/>
      <c r="AH455" s="89"/>
      <c r="AI455" s="89"/>
      <c r="AJ455" s="89"/>
      <c r="AK455" s="89"/>
      <c r="AL455" s="89"/>
      <c r="AM455" s="89"/>
      <c r="AN455" s="89"/>
      <c r="AO455" s="89"/>
      <c r="AP455" s="89"/>
      <c r="AQ455" s="89"/>
      <c r="AR455" s="89"/>
      <c r="AS455" s="89"/>
      <c r="AT455" s="89"/>
      <c r="AU455" s="89"/>
      <c r="AV455" s="89"/>
      <c r="AW455" s="89"/>
      <c r="AX455" s="89"/>
      <c r="AY455" s="89"/>
      <c r="AZ455" s="89"/>
      <c r="BA455" s="89" t="s">
        <v>797</v>
      </c>
      <c r="BB455" s="441"/>
      <c r="BC455" s="441"/>
      <c r="BD455" s="89" t="s">
        <v>797</v>
      </c>
      <c r="BE455" s="89" t="s">
        <v>948</v>
      </c>
      <c r="BF455" s="441"/>
      <c r="BG455" s="441"/>
      <c r="BH455" s="441"/>
      <c r="BI455" s="441"/>
      <c r="BJ455" s="441"/>
      <c r="BK455" s="441"/>
      <c r="BL455" s="89" t="s">
        <v>797</v>
      </c>
      <c r="BM455" s="441"/>
      <c r="BN455" s="441"/>
      <c r="BO455" s="89" t="s">
        <v>797</v>
      </c>
      <c r="BP455" s="441"/>
      <c r="BQ455" s="441"/>
      <c r="BR455" s="441"/>
    </row>
    <row r="456" spans="2:70" ht="14.65" customHeight="1">
      <c r="B456" s="437">
        <f t="shared" si="14"/>
        <v>73</v>
      </c>
      <c r="C456" s="255"/>
      <c r="D456" s="438"/>
      <c r="E456" s="438"/>
      <c r="F456" s="89"/>
      <c r="G456" s="89"/>
      <c r="H456" s="89"/>
      <c r="I456" s="89"/>
      <c r="J456" s="89"/>
      <c r="K456" s="89"/>
      <c r="L456" s="89"/>
      <c r="M456" s="89"/>
      <c r="N456" s="89"/>
      <c r="O456" s="89"/>
      <c r="P456" s="89"/>
      <c r="Q456" s="475" t="s">
        <v>797</v>
      </c>
      <c r="R456" s="89"/>
      <c r="S456" s="89"/>
      <c r="T456" s="89"/>
      <c r="U456" s="89"/>
      <c r="V456" s="89"/>
      <c r="W456" s="89"/>
      <c r="X456" s="89" t="s">
        <v>948</v>
      </c>
      <c r="Y456" s="89"/>
      <c r="Z456" s="89"/>
      <c r="AA456" s="89"/>
      <c r="AB456" s="89"/>
      <c r="AC456" s="89"/>
      <c r="AD456" s="89"/>
      <c r="AE456" s="89"/>
      <c r="AF456" s="89"/>
      <c r="AG456" s="89"/>
      <c r="AH456" s="89"/>
      <c r="AI456" s="89"/>
      <c r="AJ456" s="89"/>
      <c r="AK456" s="89"/>
      <c r="AL456" s="89"/>
      <c r="AM456" s="89"/>
      <c r="AN456" s="89"/>
      <c r="AO456" s="89"/>
      <c r="AP456" s="89"/>
      <c r="AQ456" s="89"/>
      <c r="AR456" s="89"/>
      <c r="AS456" s="89"/>
      <c r="AT456" s="89"/>
      <c r="AU456" s="89"/>
      <c r="AV456" s="89"/>
      <c r="AW456" s="89"/>
      <c r="AX456" s="89"/>
      <c r="AY456" s="89"/>
      <c r="AZ456" s="89"/>
      <c r="BA456" s="89" t="s">
        <v>797</v>
      </c>
      <c r="BB456" s="441"/>
      <c r="BC456" s="441"/>
      <c r="BD456" s="89" t="s">
        <v>797</v>
      </c>
      <c r="BE456" s="89" t="s">
        <v>948</v>
      </c>
      <c r="BF456" s="441"/>
      <c r="BG456" s="441"/>
      <c r="BH456" s="441"/>
      <c r="BI456" s="441"/>
      <c r="BJ456" s="441"/>
      <c r="BK456" s="441"/>
      <c r="BL456" s="89" t="s">
        <v>797</v>
      </c>
      <c r="BM456" s="441"/>
      <c r="BN456" s="441"/>
      <c r="BO456" s="89" t="s">
        <v>797</v>
      </c>
      <c r="BP456" s="441"/>
      <c r="BQ456" s="441"/>
      <c r="BR456" s="441"/>
    </row>
    <row r="457" spans="2:70" ht="14.65" customHeight="1">
      <c r="B457" s="437">
        <f t="shared" si="14"/>
        <v>74</v>
      </c>
      <c r="C457" s="255"/>
      <c r="D457" s="438"/>
      <c r="E457" s="438"/>
      <c r="F457" s="89"/>
      <c r="G457" s="89"/>
      <c r="H457" s="89"/>
      <c r="I457" s="89"/>
      <c r="J457" s="89"/>
      <c r="K457" s="89"/>
      <c r="L457" s="89"/>
      <c r="M457" s="89"/>
      <c r="N457" s="89"/>
      <c r="O457" s="89"/>
      <c r="P457" s="89"/>
      <c r="Q457" s="475" t="s">
        <v>797</v>
      </c>
      <c r="R457" s="89"/>
      <c r="S457" s="89"/>
      <c r="T457" s="89"/>
      <c r="U457" s="89"/>
      <c r="V457" s="89"/>
      <c r="W457" s="89"/>
      <c r="X457" s="89" t="s">
        <v>948</v>
      </c>
      <c r="Y457" s="89"/>
      <c r="Z457" s="89"/>
      <c r="AA457" s="89"/>
      <c r="AB457" s="89"/>
      <c r="AC457" s="89"/>
      <c r="AD457" s="89"/>
      <c r="AE457" s="89"/>
      <c r="AF457" s="89"/>
      <c r="AG457" s="89"/>
      <c r="AH457" s="89"/>
      <c r="AI457" s="89"/>
      <c r="AJ457" s="89"/>
      <c r="AK457" s="89"/>
      <c r="AL457" s="89"/>
      <c r="AM457" s="89"/>
      <c r="AN457" s="89"/>
      <c r="AO457" s="89"/>
      <c r="AP457" s="89"/>
      <c r="AQ457" s="89"/>
      <c r="AR457" s="89"/>
      <c r="AS457" s="89"/>
      <c r="AT457" s="89"/>
      <c r="AU457" s="89"/>
      <c r="AV457" s="89"/>
      <c r="AW457" s="89"/>
      <c r="AX457" s="89"/>
      <c r="AY457" s="89"/>
      <c r="AZ457" s="89"/>
      <c r="BA457" s="89" t="s">
        <v>797</v>
      </c>
      <c r="BB457" s="441"/>
      <c r="BC457" s="441"/>
      <c r="BD457" s="89" t="s">
        <v>797</v>
      </c>
      <c r="BE457" s="89" t="s">
        <v>948</v>
      </c>
      <c r="BF457" s="441"/>
      <c r="BG457" s="441"/>
      <c r="BH457" s="441"/>
      <c r="BI457" s="441"/>
      <c r="BJ457" s="441"/>
      <c r="BK457" s="441"/>
      <c r="BL457" s="89" t="s">
        <v>797</v>
      </c>
      <c r="BM457" s="441"/>
      <c r="BN457" s="441"/>
      <c r="BO457" s="89" t="s">
        <v>797</v>
      </c>
      <c r="BP457" s="441"/>
      <c r="BQ457" s="441"/>
      <c r="BR457" s="441"/>
    </row>
    <row r="458" spans="2:70" ht="14.65" customHeight="1">
      <c r="B458" s="437">
        <f t="shared" si="14"/>
        <v>75</v>
      </c>
      <c r="C458" s="255"/>
      <c r="D458" s="438"/>
      <c r="E458" s="438"/>
      <c r="F458" s="89"/>
      <c r="G458" s="89"/>
      <c r="H458" s="89"/>
      <c r="I458" s="89"/>
      <c r="J458" s="89"/>
      <c r="K458" s="89"/>
      <c r="L458" s="89"/>
      <c r="M458" s="89"/>
      <c r="N458" s="89"/>
      <c r="O458" s="89"/>
      <c r="P458" s="89"/>
      <c r="Q458" s="475" t="s">
        <v>797</v>
      </c>
      <c r="R458" s="89"/>
      <c r="S458" s="89"/>
      <c r="T458" s="89"/>
      <c r="U458" s="89"/>
      <c r="V458" s="89"/>
      <c r="W458" s="89"/>
      <c r="X458" s="89" t="s">
        <v>948</v>
      </c>
      <c r="Y458" s="89"/>
      <c r="Z458" s="89"/>
      <c r="AA458" s="89"/>
      <c r="AB458" s="89"/>
      <c r="AC458" s="89"/>
      <c r="AD458" s="89"/>
      <c r="AE458" s="89"/>
      <c r="AF458" s="89"/>
      <c r="AG458" s="89"/>
      <c r="AH458" s="89"/>
      <c r="AI458" s="89"/>
      <c r="AJ458" s="89"/>
      <c r="AK458" s="89"/>
      <c r="AL458" s="89"/>
      <c r="AM458" s="89"/>
      <c r="AN458" s="89"/>
      <c r="AO458" s="89"/>
      <c r="AP458" s="89"/>
      <c r="AQ458" s="89"/>
      <c r="AR458" s="89"/>
      <c r="AS458" s="89"/>
      <c r="AT458" s="89"/>
      <c r="AU458" s="89"/>
      <c r="AV458" s="89"/>
      <c r="AW458" s="89"/>
      <c r="AX458" s="89"/>
      <c r="AY458" s="89"/>
      <c r="AZ458" s="89"/>
      <c r="BA458" s="89" t="s">
        <v>797</v>
      </c>
      <c r="BB458" s="441"/>
      <c r="BC458" s="441"/>
      <c r="BD458" s="89" t="s">
        <v>797</v>
      </c>
      <c r="BE458" s="89" t="s">
        <v>948</v>
      </c>
      <c r="BF458" s="441"/>
      <c r="BG458" s="441"/>
      <c r="BH458" s="441"/>
      <c r="BI458" s="441"/>
      <c r="BJ458" s="441"/>
      <c r="BK458" s="441"/>
      <c r="BL458" s="89" t="s">
        <v>797</v>
      </c>
      <c r="BM458" s="441"/>
      <c r="BN458" s="441"/>
      <c r="BO458" s="89" t="s">
        <v>797</v>
      </c>
      <c r="BP458" s="441"/>
      <c r="BQ458" s="441"/>
      <c r="BR458" s="441"/>
    </row>
    <row r="459" spans="2:70" ht="14.65" customHeight="1">
      <c r="B459" s="437">
        <f t="shared" si="14"/>
        <v>76</v>
      </c>
      <c r="C459" s="255"/>
      <c r="D459" s="438"/>
      <c r="E459" s="438"/>
      <c r="F459" s="89"/>
      <c r="G459" s="89"/>
      <c r="H459" s="89"/>
      <c r="I459" s="89"/>
      <c r="J459" s="89"/>
      <c r="K459" s="89"/>
      <c r="L459" s="89"/>
      <c r="M459" s="89"/>
      <c r="N459" s="89"/>
      <c r="O459" s="89"/>
      <c r="P459" s="89"/>
      <c r="Q459" s="475" t="s">
        <v>797</v>
      </c>
      <c r="R459" s="89"/>
      <c r="S459" s="89"/>
      <c r="T459" s="89"/>
      <c r="U459" s="89"/>
      <c r="V459" s="89"/>
      <c r="W459" s="89"/>
      <c r="X459" s="89" t="s">
        <v>948</v>
      </c>
      <c r="Y459" s="89"/>
      <c r="Z459" s="89"/>
      <c r="AA459" s="89"/>
      <c r="AB459" s="89"/>
      <c r="AC459" s="89"/>
      <c r="AD459" s="89"/>
      <c r="AE459" s="89"/>
      <c r="AF459" s="89"/>
      <c r="AG459" s="89"/>
      <c r="AH459" s="89"/>
      <c r="AI459" s="89"/>
      <c r="AJ459" s="89"/>
      <c r="AK459" s="89"/>
      <c r="AL459" s="89"/>
      <c r="AM459" s="89"/>
      <c r="AN459" s="89"/>
      <c r="AO459" s="89"/>
      <c r="AP459" s="89"/>
      <c r="AQ459" s="89"/>
      <c r="AR459" s="89"/>
      <c r="AS459" s="89"/>
      <c r="AT459" s="89"/>
      <c r="AU459" s="89"/>
      <c r="AV459" s="89"/>
      <c r="AW459" s="89"/>
      <c r="AX459" s="89"/>
      <c r="AY459" s="89"/>
      <c r="AZ459" s="89"/>
      <c r="BA459" s="89" t="s">
        <v>797</v>
      </c>
      <c r="BB459" s="441"/>
      <c r="BC459" s="441"/>
      <c r="BD459" s="89" t="s">
        <v>797</v>
      </c>
      <c r="BE459" s="89" t="s">
        <v>948</v>
      </c>
      <c r="BF459" s="441"/>
      <c r="BG459" s="441"/>
      <c r="BH459" s="441"/>
      <c r="BI459" s="441"/>
      <c r="BJ459" s="441"/>
      <c r="BK459" s="441"/>
      <c r="BL459" s="89" t="s">
        <v>797</v>
      </c>
      <c r="BM459" s="441"/>
      <c r="BN459" s="441"/>
      <c r="BO459" s="89" t="s">
        <v>797</v>
      </c>
      <c r="BP459" s="441"/>
      <c r="BQ459" s="441"/>
      <c r="BR459" s="441"/>
    </row>
    <row r="460" spans="2:70" ht="14.65" customHeight="1">
      <c r="B460" s="437">
        <f t="shared" si="14"/>
        <v>77</v>
      </c>
      <c r="C460" s="255"/>
      <c r="D460" s="438"/>
      <c r="E460" s="438"/>
      <c r="F460" s="89"/>
      <c r="G460" s="89"/>
      <c r="H460" s="89"/>
      <c r="I460" s="89"/>
      <c r="J460" s="89"/>
      <c r="K460" s="89"/>
      <c r="L460" s="89"/>
      <c r="M460" s="89"/>
      <c r="N460" s="89"/>
      <c r="O460" s="89"/>
      <c r="P460" s="89"/>
      <c r="Q460" s="475" t="s">
        <v>797</v>
      </c>
      <c r="R460" s="89"/>
      <c r="S460" s="89"/>
      <c r="T460" s="89"/>
      <c r="U460" s="89"/>
      <c r="V460" s="89"/>
      <c r="W460" s="89"/>
      <c r="X460" s="89" t="s">
        <v>948</v>
      </c>
      <c r="Y460" s="89"/>
      <c r="Z460" s="89"/>
      <c r="AA460" s="89"/>
      <c r="AB460" s="89"/>
      <c r="AC460" s="89"/>
      <c r="AD460" s="89"/>
      <c r="AE460" s="89"/>
      <c r="AF460" s="89"/>
      <c r="AG460" s="89"/>
      <c r="AH460" s="89"/>
      <c r="AI460" s="89"/>
      <c r="AJ460" s="89"/>
      <c r="AK460" s="89"/>
      <c r="AL460" s="89"/>
      <c r="AM460" s="89"/>
      <c r="AN460" s="89"/>
      <c r="AO460" s="89"/>
      <c r="AP460" s="89"/>
      <c r="AQ460" s="89"/>
      <c r="AR460" s="89"/>
      <c r="AS460" s="89"/>
      <c r="AT460" s="89"/>
      <c r="AU460" s="89"/>
      <c r="AV460" s="89"/>
      <c r="AW460" s="89"/>
      <c r="AX460" s="89"/>
      <c r="AY460" s="89"/>
      <c r="AZ460" s="89"/>
      <c r="BA460" s="89" t="s">
        <v>797</v>
      </c>
      <c r="BB460" s="441"/>
      <c r="BC460" s="441"/>
      <c r="BD460" s="89" t="s">
        <v>797</v>
      </c>
      <c r="BE460" s="89" t="s">
        <v>948</v>
      </c>
      <c r="BF460" s="441"/>
      <c r="BG460" s="441"/>
      <c r="BH460" s="441"/>
      <c r="BI460" s="441"/>
      <c r="BJ460" s="441"/>
      <c r="BK460" s="441"/>
      <c r="BL460" s="89" t="s">
        <v>797</v>
      </c>
      <c r="BM460" s="441"/>
      <c r="BN460" s="441"/>
      <c r="BO460" s="89" t="s">
        <v>797</v>
      </c>
      <c r="BP460" s="441"/>
      <c r="BQ460" s="441"/>
      <c r="BR460" s="441"/>
    </row>
    <row r="461" spans="2:70" ht="14.25">
      <c r="B461" s="437">
        <f t="shared" si="14"/>
        <v>78</v>
      </c>
      <c r="C461" s="255"/>
      <c r="D461" s="438"/>
      <c r="E461" s="438"/>
      <c r="F461" s="89"/>
      <c r="G461" s="89"/>
      <c r="H461" s="89"/>
      <c r="I461" s="89"/>
      <c r="J461" s="89"/>
      <c r="K461" s="89"/>
      <c r="L461" s="89"/>
      <c r="M461" s="89"/>
      <c r="N461" s="89"/>
      <c r="O461" s="89"/>
      <c r="P461" s="89"/>
      <c r="Q461" s="475" t="s">
        <v>797</v>
      </c>
      <c r="R461" s="89"/>
      <c r="S461" s="89"/>
      <c r="T461" s="89"/>
      <c r="U461" s="89"/>
      <c r="V461" s="89"/>
      <c r="W461" s="89"/>
      <c r="X461" s="89" t="s">
        <v>948</v>
      </c>
      <c r="Y461" s="89"/>
      <c r="Z461" s="89"/>
      <c r="AA461" s="89"/>
      <c r="AB461" s="89"/>
      <c r="AC461" s="89"/>
      <c r="AD461" s="89"/>
      <c r="AE461" s="89"/>
      <c r="AF461" s="89"/>
      <c r="AG461" s="89"/>
      <c r="AH461" s="89"/>
      <c r="AI461" s="89"/>
      <c r="AJ461" s="89"/>
      <c r="AK461" s="89"/>
      <c r="AL461" s="89"/>
      <c r="AM461" s="89"/>
      <c r="AN461" s="89"/>
      <c r="AO461" s="89"/>
      <c r="AP461" s="89"/>
      <c r="AQ461" s="89"/>
      <c r="AR461" s="89"/>
      <c r="AS461" s="89"/>
      <c r="AT461" s="89"/>
      <c r="AU461" s="89"/>
      <c r="AV461" s="89"/>
      <c r="AW461" s="89"/>
      <c r="AX461" s="89"/>
      <c r="AY461" s="89"/>
      <c r="AZ461" s="89"/>
      <c r="BA461" s="89" t="s">
        <v>797</v>
      </c>
      <c r="BB461" s="441"/>
      <c r="BC461" s="441"/>
      <c r="BD461" s="89" t="s">
        <v>797</v>
      </c>
      <c r="BE461" s="89" t="s">
        <v>948</v>
      </c>
      <c r="BF461" s="441"/>
      <c r="BG461" s="441"/>
      <c r="BH461" s="441"/>
      <c r="BI461" s="441"/>
      <c r="BJ461" s="441"/>
      <c r="BK461" s="441"/>
      <c r="BL461" s="89" t="s">
        <v>797</v>
      </c>
      <c r="BM461" s="441"/>
      <c r="BN461" s="441"/>
      <c r="BO461" s="89" t="s">
        <v>797</v>
      </c>
      <c r="BP461" s="441"/>
      <c r="BQ461" s="441"/>
      <c r="BR461" s="441"/>
    </row>
    <row r="462" spans="2:70" ht="12">
      <c r="C462" s="125" t="s">
        <v>1011</v>
      </c>
      <c r="D462" s="98"/>
      <c r="E462" s="98"/>
      <c r="V462" t="s">
        <v>996</v>
      </c>
      <c r="Y462" t="s">
        <v>996</v>
      </c>
      <c r="AB462" t="s">
        <v>996</v>
      </c>
      <c r="AE462" t="s">
        <v>996</v>
      </c>
      <c r="AG462" t="s">
        <v>997</v>
      </c>
    </row>
    <row r="463" spans="2:70" ht="12">
      <c r="C463" s="251" t="s">
        <v>998</v>
      </c>
      <c r="V463" t="s">
        <v>999</v>
      </c>
      <c r="Y463" t="s">
        <v>999</v>
      </c>
      <c r="AB463" t="s">
        <v>999</v>
      </c>
      <c r="AE463" t="s">
        <v>999</v>
      </c>
    </row>
    <row r="464" spans="2:70" ht="12">
      <c r="C464" t="s">
        <v>805</v>
      </c>
      <c r="AT464" s="476"/>
      <c r="AU464" s="476"/>
      <c r="AV464" s="476"/>
      <c r="AW464" s="476"/>
      <c r="AX464" s="476"/>
      <c r="AY464" s="476"/>
      <c r="AZ464" s="476"/>
    </row>
    <row r="465" spans="1:76" ht="12"/>
    <row r="466" spans="1:76" ht="12"/>
    <row r="467" spans="1:76" ht="12">
      <c r="C467" s="251"/>
      <c r="D467" s="251"/>
      <c r="E467" s="251"/>
    </row>
    <row r="468" spans="1:76" ht="15.75">
      <c r="A468" s="570">
        <f>1+A276</f>
        <v>3</v>
      </c>
      <c r="B468" s="425" t="s">
        <v>1012</v>
      </c>
      <c r="C468" s="425"/>
      <c r="D468" s="426"/>
      <c r="E468" s="426"/>
      <c r="F468" s="426"/>
      <c r="G468" s="426"/>
      <c r="H468" s="426"/>
      <c r="I468" s="426"/>
      <c r="J468" s="426"/>
      <c r="K468" s="426"/>
      <c r="L468" s="426"/>
      <c r="M468" s="426"/>
      <c r="N468" s="426"/>
      <c r="O468" s="426"/>
      <c r="P468" s="426"/>
      <c r="Q468" s="426"/>
      <c r="R468" s="426"/>
      <c r="S468" s="426"/>
      <c r="T468" s="426"/>
      <c r="U468" s="426"/>
      <c r="V468" s="426"/>
      <c r="W468" s="426"/>
      <c r="X468" s="426"/>
      <c r="Y468" s="426"/>
      <c r="Z468" s="426"/>
      <c r="AA468" s="426"/>
      <c r="AB468" s="426"/>
      <c r="AC468" s="426"/>
      <c r="AD468" s="426"/>
      <c r="AE468" s="426"/>
      <c r="AF468" s="426"/>
      <c r="AG468" s="426"/>
      <c r="AH468" s="426"/>
      <c r="AI468" s="426"/>
      <c r="AJ468" s="426"/>
      <c r="AK468" s="426"/>
      <c r="AL468" s="426"/>
      <c r="AM468" s="426"/>
      <c r="AN468" s="426"/>
      <c r="AO468" s="426"/>
      <c r="AP468" s="426"/>
      <c r="AQ468" s="426"/>
      <c r="AR468" s="426"/>
      <c r="AS468" s="426"/>
      <c r="AT468" s="426"/>
      <c r="AU468" s="426"/>
      <c r="AV468" s="426"/>
      <c r="AW468" s="426"/>
      <c r="AX468" s="426"/>
      <c r="AY468" s="426"/>
      <c r="AZ468" s="426"/>
      <c r="BA468" s="426"/>
      <c r="BB468" s="426"/>
      <c r="BC468" s="426"/>
      <c r="BD468" s="426"/>
      <c r="BE468" s="426"/>
      <c r="BF468" s="426"/>
      <c r="BG468" s="426"/>
      <c r="BH468" s="426"/>
      <c r="BI468" s="426"/>
      <c r="BJ468" s="426"/>
      <c r="BK468" s="426"/>
      <c r="BL468" s="426"/>
      <c r="BM468" s="426"/>
      <c r="BN468" s="426"/>
      <c r="BO468" s="426"/>
      <c r="BP468" s="426"/>
      <c r="BQ468" s="426"/>
      <c r="BR468" s="426"/>
      <c r="BS468" s="426"/>
      <c r="BT468" s="426"/>
      <c r="BU468" s="426"/>
      <c r="BV468" s="426"/>
      <c r="BW468" s="426"/>
      <c r="BX468" s="426"/>
    </row>
    <row r="469" spans="1:76" ht="12">
      <c r="A469" s="574"/>
      <c r="B469" s="251"/>
      <c r="C469" s="251"/>
      <c r="D469" s="251"/>
      <c r="E469" s="251"/>
      <c r="F469" s="251"/>
      <c r="G469" s="251"/>
      <c r="H469" s="251"/>
      <c r="I469" s="251"/>
      <c r="J469" s="251"/>
      <c r="K469" s="251"/>
    </row>
    <row r="470" spans="1:76" ht="15.75">
      <c r="B470" s="251"/>
      <c r="C470" s="9" t="s">
        <v>1013</v>
      </c>
      <c r="D470" s="251"/>
      <c r="E470" s="251"/>
      <c r="F470" s="251"/>
      <c r="G470" s="251"/>
      <c r="H470" s="251"/>
      <c r="I470" s="251"/>
      <c r="J470" s="251"/>
      <c r="K470" s="251"/>
      <c r="L470" s="251"/>
      <c r="U470" s="251"/>
      <c r="V470" s="9"/>
      <c r="W470" s="9"/>
      <c r="X470" s="9"/>
      <c r="Y470" s="9"/>
      <c r="Z470" s="9"/>
      <c r="AA470" s="9"/>
      <c r="AB470" s="9"/>
      <c r="AC470" s="9"/>
      <c r="AD470" s="9"/>
      <c r="AE470" s="251"/>
      <c r="AF470" s="251"/>
      <c r="AG470" s="251"/>
      <c r="AH470" s="251"/>
      <c r="AI470" s="251"/>
      <c r="AJ470" s="251"/>
      <c r="AK470" s="251"/>
      <c r="AL470" s="251"/>
      <c r="AM470" s="251"/>
      <c r="AN470" s="251"/>
    </row>
    <row r="471" spans="1:76" ht="12">
      <c r="B471" s="251"/>
      <c r="C471" s="478" t="s">
        <v>1014</v>
      </c>
      <c r="D471" s="98"/>
      <c r="E471" s="98"/>
      <c r="F471" s="251"/>
      <c r="G471" s="251"/>
      <c r="H471" s="251"/>
      <c r="I471" s="251"/>
      <c r="J471" s="251"/>
      <c r="K471" s="251"/>
      <c r="L471" s="251"/>
    </row>
    <row r="472" spans="1:76" ht="12">
      <c r="B472" s="251"/>
      <c r="C472" s="478" t="s">
        <v>1015</v>
      </c>
      <c r="D472" s="98"/>
      <c r="E472" s="98"/>
      <c r="F472" s="251"/>
      <c r="G472" s="251"/>
      <c r="H472" s="251"/>
      <c r="I472" s="251"/>
      <c r="J472" s="251"/>
      <c r="K472" s="251"/>
      <c r="L472" s="251"/>
    </row>
    <row r="473" spans="1:76" ht="12">
      <c r="B473" s="251"/>
      <c r="C473" s="251"/>
      <c r="D473" s="251"/>
      <c r="E473" s="251"/>
      <c r="F473" s="251"/>
      <c r="G473" s="251"/>
      <c r="H473" s="251"/>
      <c r="I473" s="251"/>
      <c r="J473" s="251"/>
      <c r="K473" s="251"/>
      <c r="L473" s="251"/>
    </row>
    <row r="474" spans="1:76" ht="12">
      <c r="B474" s="251"/>
      <c r="C474" s="545" t="s">
        <v>461</v>
      </c>
      <c r="D474" s="545" t="s">
        <v>462</v>
      </c>
      <c r="E474" s="545" t="s">
        <v>463</v>
      </c>
      <c r="F474" s="548">
        <v>2023</v>
      </c>
      <c r="G474" s="549"/>
      <c r="H474" s="549"/>
      <c r="I474" s="549"/>
      <c r="J474" s="550"/>
      <c r="K474" s="551">
        <v>2024</v>
      </c>
      <c r="L474" s="552"/>
      <c r="M474" s="552"/>
      <c r="N474" s="552"/>
      <c r="O474" s="552"/>
    </row>
    <row r="475" spans="1:76" ht="79.900000000000006" customHeight="1">
      <c r="B475" s="251"/>
      <c r="C475" s="546"/>
      <c r="D475" s="547"/>
      <c r="E475" s="547"/>
      <c r="F475" s="481" t="s">
        <v>1016</v>
      </c>
      <c r="G475" s="482" t="s">
        <v>1017</v>
      </c>
      <c r="H475" s="482" t="s">
        <v>1018</v>
      </c>
      <c r="I475" s="481" t="s">
        <v>1019</v>
      </c>
      <c r="J475" s="482" t="s">
        <v>1020</v>
      </c>
      <c r="K475" s="481" t="s">
        <v>1016</v>
      </c>
      <c r="L475" s="482" t="s">
        <v>1017</v>
      </c>
      <c r="M475" s="482" t="s">
        <v>1018</v>
      </c>
      <c r="N475" s="481" t="s">
        <v>1019</v>
      </c>
      <c r="O475" s="482" t="s">
        <v>1021</v>
      </c>
    </row>
    <row r="476" spans="1:76" ht="14.25">
      <c r="A476" s="572" t="str">
        <f>C476&amp;D476</f>
        <v>Paquete 249Residencial</v>
      </c>
      <c r="B476" s="437">
        <v>1</v>
      </c>
      <c r="C476" s="255" t="s">
        <v>166</v>
      </c>
      <c r="D476" s="438" t="s">
        <v>358</v>
      </c>
      <c r="E476" s="438" t="s">
        <v>796</v>
      </c>
      <c r="F476" s="512">
        <v>109702</v>
      </c>
      <c r="G476" s="512">
        <v>0</v>
      </c>
      <c r="H476" s="512">
        <v>2561</v>
      </c>
      <c r="I476" s="512">
        <v>0</v>
      </c>
      <c r="J476" s="512">
        <f>+SUM(F476:I476)</f>
        <v>112263</v>
      </c>
      <c r="K476" s="512">
        <v>207174</v>
      </c>
      <c r="L476" s="512">
        <v>0</v>
      </c>
      <c r="M476" s="512">
        <v>2212</v>
      </c>
      <c r="N476" s="512">
        <v>0</v>
      </c>
      <c r="O476" s="512">
        <f>+SUM(K476:N476)</f>
        <v>209386</v>
      </c>
      <c r="P476" s="89"/>
    </row>
    <row r="477" spans="1:76" ht="14.25">
      <c r="A477" s="572" t="str">
        <f t="shared" ref="A477:A509" si="15">C477&amp;D477</f>
        <v>Paquete 289Residencial</v>
      </c>
      <c r="B477" s="437">
        <f>1+B476</f>
        <v>2</v>
      </c>
      <c r="C477" s="255" t="s">
        <v>169</v>
      </c>
      <c r="D477" s="438" t="s">
        <v>358</v>
      </c>
      <c r="E477" s="438" t="s">
        <v>796</v>
      </c>
      <c r="F477" s="512">
        <v>72402</v>
      </c>
      <c r="G477" s="512">
        <v>0</v>
      </c>
      <c r="H477" s="512">
        <v>1126</v>
      </c>
      <c r="I477" s="512">
        <v>0</v>
      </c>
      <c r="J477" s="512">
        <f t="shared" ref="J477:J514" si="16">+SUM(F477:I477)</f>
        <v>73528</v>
      </c>
      <c r="K477" s="512">
        <v>55831</v>
      </c>
      <c r="L477" s="512">
        <v>0</v>
      </c>
      <c r="M477" s="512">
        <v>704</v>
      </c>
      <c r="N477" s="512">
        <v>0</v>
      </c>
      <c r="O477" s="512">
        <f t="shared" ref="O477:O514" si="17">+SUM(K477:N477)</f>
        <v>56535</v>
      </c>
    </row>
    <row r="478" spans="1:76" ht="14.25">
      <c r="A478" s="572" t="str">
        <f t="shared" si="15"/>
        <v>Paquete 333Residencial</v>
      </c>
      <c r="B478" s="437">
        <f t="shared" ref="B478:B541" si="18">1+B477</f>
        <v>3</v>
      </c>
      <c r="C478" s="255" t="s">
        <v>173</v>
      </c>
      <c r="D478" s="438" t="s">
        <v>358</v>
      </c>
      <c r="E478" s="438" t="s">
        <v>796</v>
      </c>
      <c r="F478" s="512">
        <v>54226</v>
      </c>
      <c r="G478" s="512">
        <v>0</v>
      </c>
      <c r="H478" s="512">
        <v>1808</v>
      </c>
      <c r="I478" s="512">
        <v>0</v>
      </c>
      <c r="J478" s="512">
        <f t="shared" si="16"/>
        <v>56034</v>
      </c>
      <c r="K478" s="512">
        <v>48741</v>
      </c>
      <c r="L478" s="512">
        <v>0</v>
      </c>
      <c r="M478" s="512">
        <v>1251</v>
      </c>
      <c r="N478" s="512">
        <v>0</v>
      </c>
      <c r="O478" s="512">
        <f t="shared" si="17"/>
        <v>49992</v>
      </c>
    </row>
    <row r="479" spans="1:76" ht="14.25">
      <c r="A479" s="572" t="str">
        <f t="shared" si="15"/>
        <v>Paquete 389Residencial</v>
      </c>
      <c r="B479" s="437">
        <f t="shared" si="18"/>
        <v>4</v>
      </c>
      <c r="C479" s="255" t="s">
        <v>177</v>
      </c>
      <c r="D479" s="438" t="s">
        <v>358</v>
      </c>
      <c r="E479" s="438" t="s">
        <v>796</v>
      </c>
      <c r="F479" s="512">
        <v>3784143</v>
      </c>
      <c r="G479" s="512">
        <v>0</v>
      </c>
      <c r="H479" s="512">
        <v>650593</v>
      </c>
      <c r="I479" s="512">
        <v>0</v>
      </c>
      <c r="J479" s="512">
        <f t="shared" si="16"/>
        <v>4434736</v>
      </c>
      <c r="K479" s="512">
        <v>5091786</v>
      </c>
      <c r="L479" s="512">
        <v>0</v>
      </c>
      <c r="M479" s="512">
        <v>710392</v>
      </c>
      <c r="N479" s="512">
        <v>0</v>
      </c>
      <c r="O479" s="512">
        <f t="shared" si="17"/>
        <v>5802178</v>
      </c>
    </row>
    <row r="480" spans="1:76" ht="14.25">
      <c r="A480" s="572" t="str">
        <f t="shared" si="15"/>
        <v>Paquete 435Residencial</v>
      </c>
      <c r="B480" s="437">
        <f t="shared" si="18"/>
        <v>5</v>
      </c>
      <c r="C480" s="255" t="s">
        <v>180</v>
      </c>
      <c r="D480" s="438" t="s">
        <v>358</v>
      </c>
      <c r="E480" s="438" t="s">
        <v>796</v>
      </c>
      <c r="F480" s="512">
        <v>194280</v>
      </c>
      <c r="G480" s="512">
        <v>0</v>
      </c>
      <c r="H480" s="512">
        <v>62694</v>
      </c>
      <c r="I480" s="512">
        <v>0</v>
      </c>
      <c r="J480" s="512">
        <f t="shared" si="16"/>
        <v>256974</v>
      </c>
      <c r="K480" s="512">
        <v>149058</v>
      </c>
      <c r="L480" s="512">
        <v>0</v>
      </c>
      <c r="M480" s="512">
        <v>101983</v>
      </c>
      <c r="N480" s="512">
        <v>0</v>
      </c>
      <c r="O480" s="512">
        <f t="shared" si="17"/>
        <v>251041</v>
      </c>
    </row>
    <row r="481" spans="1:15" ht="14.25">
      <c r="A481" s="572" t="str">
        <f t="shared" si="15"/>
        <v>Paquete 499Residencial</v>
      </c>
      <c r="B481" s="437">
        <f t="shared" si="18"/>
        <v>6</v>
      </c>
      <c r="C481" s="255" t="s">
        <v>182</v>
      </c>
      <c r="D481" s="438" t="s">
        <v>358</v>
      </c>
      <c r="E481" s="438" t="s">
        <v>796</v>
      </c>
      <c r="F481" s="512">
        <v>166261</v>
      </c>
      <c r="G481" s="512">
        <v>0</v>
      </c>
      <c r="H481" s="512">
        <v>71560</v>
      </c>
      <c r="I481" s="512">
        <v>0</v>
      </c>
      <c r="J481" s="512">
        <f t="shared" si="16"/>
        <v>237821</v>
      </c>
      <c r="K481" s="512">
        <v>231124</v>
      </c>
      <c r="L481" s="512">
        <v>0</v>
      </c>
      <c r="M481" s="512">
        <v>56266</v>
      </c>
      <c r="N481" s="512">
        <v>0</v>
      </c>
      <c r="O481" s="512">
        <f t="shared" si="17"/>
        <v>287390</v>
      </c>
    </row>
    <row r="482" spans="1:15" ht="14.25">
      <c r="A482" s="572" t="str">
        <f t="shared" si="15"/>
        <v>Paquete 599Residencial</v>
      </c>
      <c r="B482" s="437">
        <f t="shared" si="18"/>
        <v>7</v>
      </c>
      <c r="C482" s="255" t="s">
        <v>184</v>
      </c>
      <c r="D482" s="438" t="s">
        <v>358</v>
      </c>
      <c r="E482" s="438" t="s">
        <v>796</v>
      </c>
      <c r="F482" s="512">
        <v>238052</v>
      </c>
      <c r="G482" s="512">
        <v>0</v>
      </c>
      <c r="H482" s="512">
        <v>77383</v>
      </c>
      <c r="I482" s="512">
        <v>0</v>
      </c>
      <c r="J482" s="512">
        <f t="shared" si="16"/>
        <v>315435</v>
      </c>
      <c r="K482" s="512">
        <v>333005</v>
      </c>
      <c r="L482" s="512">
        <v>0</v>
      </c>
      <c r="M482" s="512">
        <v>104428</v>
      </c>
      <c r="N482" s="512">
        <v>0</v>
      </c>
      <c r="O482" s="512">
        <f t="shared" si="17"/>
        <v>437433</v>
      </c>
    </row>
    <row r="483" spans="1:15" ht="14.25">
      <c r="A483" s="572" t="str">
        <f t="shared" si="15"/>
        <v>Paquete 649Residencial</v>
      </c>
      <c r="B483" s="437">
        <f t="shared" si="18"/>
        <v>8</v>
      </c>
      <c r="C483" s="255" t="s">
        <v>187</v>
      </c>
      <c r="D483" s="438" t="s">
        <v>358</v>
      </c>
      <c r="E483" s="438" t="s">
        <v>796</v>
      </c>
      <c r="F483" s="512">
        <v>209500</v>
      </c>
      <c r="G483" s="512">
        <v>0</v>
      </c>
      <c r="H483" s="512">
        <v>23502</v>
      </c>
      <c r="I483" s="512">
        <v>0</v>
      </c>
      <c r="J483" s="512">
        <f t="shared" si="16"/>
        <v>233002</v>
      </c>
      <c r="K483" s="512">
        <v>164307</v>
      </c>
      <c r="L483" s="512">
        <v>0</v>
      </c>
      <c r="M483" s="512">
        <v>39912</v>
      </c>
      <c r="N483" s="512">
        <v>0</v>
      </c>
      <c r="O483" s="512">
        <f t="shared" si="17"/>
        <v>204219</v>
      </c>
    </row>
    <row r="484" spans="1:15" ht="14.25">
      <c r="A484" s="572" t="str">
        <f t="shared" si="15"/>
        <v>Paquete Infinitum 999Residencial</v>
      </c>
      <c r="B484" s="437">
        <f t="shared" si="18"/>
        <v>9</v>
      </c>
      <c r="C484" s="255" t="s">
        <v>189</v>
      </c>
      <c r="D484" s="438" t="s">
        <v>358</v>
      </c>
      <c r="E484" s="438" t="s">
        <v>796</v>
      </c>
      <c r="F484" s="512">
        <v>58705</v>
      </c>
      <c r="G484" s="512">
        <v>0</v>
      </c>
      <c r="H484" s="512">
        <v>12498</v>
      </c>
      <c r="I484" s="512">
        <v>0</v>
      </c>
      <c r="J484" s="512">
        <f t="shared" si="16"/>
        <v>71203</v>
      </c>
      <c r="K484" s="512">
        <v>50793</v>
      </c>
      <c r="L484" s="512">
        <v>0</v>
      </c>
      <c r="M484" s="512">
        <v>16518</v>
      </c>
      <c r="N484" s="512">
        <v>0</v>
      </c>
      <c r="O484" s="512">
        <f t="shared" si="17"/>
        <v>67311</v>
      </c>
    </row>
    <row r="485" spans="1:15" ht="14.45" customHeight="1">
      <c r="A485" s="572" t="str">
        <f t="shared" si="15"/>
        <v>Paquete 1399Residencial</v>
      </c>
      <c r="B485" s="437">
        <f t="shared" si="18"/>
        <v>10</v>
      </c>
      <c r="C485" s="255" t="s">
        <v>191</v>
      </c>
      <c r="D485" s="438" t="s">
        <v>358</v>
      </c>
      <c r="E485" s="438" t="s">
        <v>796</v>
      </c>
      <c r="F485" s="512">
        <v>4240</v>
      </c>
      <c r="G485" s="512">
        <v>0</v>
      </c>
      <c r="H485" s="512">
        <v>9996</v>
      </c>
      <c r="I485" s="512">
        <v>0</v>
      </c>
      <c r="J485" s="512">
        <f t="shared" si="16"/>
        <v>14236</v>
      </c>
      <c r="K485" s="512">
        <v>6589</v>
      </c>
      <c r="L485" s="512">
        <v>0</v>
      </c>
      <c r="M485" s="512">
        <v>9356</v>
      </c>
      <c r="N485" s="512">
        <v>0</v>
      </c>
      <c r="O485" s="512">
        <f t="shared" si="17"/>
        <v>15945</v>
      </c>
    </row>
    <row r="486" spans="1:15" ht="14.45" customHeight="1">
      <c r="A486" s="572" t="str">
        <f t="shared" si="15"/>
        <v>Infinitum 279Residencial</v>
      </c>
      <c r="B486" s="437">
        <f t="shared" si="18"/>
        <v>11</v>
      </c>
      <c r="C486" s="255" t="s">
        <v>167</v>
      </c>
      <c r="D486" s="438" t="s">
        <v>358</v>
      </c>
      <c r="E486" s="438" t="s">
        <v>798</v>
      </c>
      <c r="F486" s="512">
        <v>25633</v>
      </c>
      <c r="G486" s="512">
        <v>0</v>
      </c>
      <c r="H486" s="512">
        <v>619</v>
      </c>
      <c r="I486" s="512">
        <v>0</v>
      </c>
      <c r="J486" s="512">
        <f t="shared" si="16"/>
        <v>26252</v>
      </c>
      <c r="K486" s="512">
        <v>27973</v>
      </c>
      <c r="L486" s="512">
        <v>0</v>
      </c>
      <c r="M486" s="512">
        <v>711</v>
      </c>
      <c r="N486" s="512">
        <v>0</v>
      </c>
      <c r="O486" s="512">
        <f t="shared" si="17"/>
        <v>28684</v>
      </c>
    </row>
    <row r="487" spans="1:15" ht="14.45" customHeight="1">
      <c r="A487" s="572" t="str">
        <f t="shared" si="15"/>
        <v>Infinitum 299 RResidencial</v>
      </c>
      <c r="B487" s="437">
        <f t="shared" si="18"/>
        <v>12</v>
      </c>
      <c r="C487" s="423" t="s">
        <v>170</v>
      </c>
      <c r="D487" s="438" t="s">
        <v>358</v>
      </c>
      <c r="E487" s="438" t="s">
        <v>798</v>
      </c>
      <c r="F487" s="512">
        <v>241</v>
      </c>
      <c r="G487" s="512">
        <v>0</v>
      </c>
      <c r="H487" s="512">
        <v>1</v>
      </c>
      <c r="I487" s="512">
        <v>0</v>
      </c>
      <c r="J487" s="512">
        <f t="shared" si="16"/>
        <v>242</v>
      </c>
      <c r="K487" s="512">
        <v>282</v>
      </c>
      <c r="L487" s="512">
        <v>0</v>
      </c>
      <c r="M487" s="512">
        <v>0</v>
      </c>
      <c r="N487" s="512">
        <v>0</v>
      </c>
      <c r="O487" s="512">
        <f t="shared" si="17"/>
        <v>282</v>
      </c>
    </row>
    <row r="488" spans="1:15" ht="14.45" customHeight="1">
      <c r="A488" s="572" t="str">
        <f t="shared" si="15"/>
        <v>Infinitum 349Residencial</v>
      </c>
      <c r="B488" s="437">
        <f t="shared" si="18"/>
        <v>13</v>
      </c>
      <c r="C488" s="255" t="s">
        <v>174</v>
      </c>
      <c r="D488" s="438" t="s">
        <v>358</v>
      </c>
      <c r="E488" s="438" t="s">
        <v>798</v>
      </c>
      <c r="F488" s="512">
        <v>1297487</v>
      </c>
      <c r="G488" s="512">
        <v>0</v>
      </c>
      <c r="H488" s="512">
        <v>217883</v>
      </c>
      <c r="I488" s="512">
        <v>0</v>
      </c>
      <c r="J488" s="512">
        <f t="shared" si="16"/>
        <v>1515370</v>
      </c>
      <c r="K488" s="512">
        <v>1338572</v>
      </c>
      <c r="L488" s="512">
        <v>0</v>
      </c>
      <c r="M488" s="512">
        <v>186457</v>
      </c>
      <c r="N488" s="512">
        <v>0</v>
      </c>
      <c r="O488" s="512">
        <f t="shared" si="17"/>
        <v>1525029</v>
      </c>
    </row>
    <row r="489" spans="1:15" ht="14.45" customHeight="1">
      <c r="A489" s="572" t="str">
        <f t="shared" si="15"/>
        <v>Infinitum 399Residencial</v>
      </c>
      <c r="B489" s="437">
        <f t="shared" si="18"/>
        <v>14</v>
      </c>
      <c r="C489" s="255" t="s">
        <v>178</v>
      </c>
      <c r="D489" s="438" t="s">
        <v>358</v>
      </c>
      <c r="E489" s="438" t="s">
        <v>798</v>
      </c>
      <c r="F489" s="512">
        <v>195777</v>
      </c>
      <c r="G489" s="512">
        <v>0</v>
      </c>
      <c r="H489" s="512">
        <v>50068</v>
      </c>
      <c r="I489" s="512">
        <v>0</v>
      </c>
      <c r="J489" s="512">
        <f t="shared" si="16"/>
        <v>245845</v>
      </c>
      <c r="K489" s="512">
        <v>140276</v>
      </c>
      <c r="L489" s="512">
        <v>0</v>
      </c>
      <c r="M489" s="512">
        <v>45854</v>
      </c>
      <c r="N489" s="512">
        <v>0</v>
      </c>
      <c r="O489" s="512">
        <f t="shared" si="17"/>
        <v>186130</v>
      </c>
    </row>
    <row r="490" spans="1:15" ht="14.45" customHeight="1">
      <c r="A490" s="572" t="str">
        <f t="shared" si="15"/>
        <v>Infinitum 449Residencial</v>
      </c>
      <c r="B490" s="437">
        <f t="shared" si="18"/>
        <v>15</v>
      </c>
      <c r="C490" s="255" t="s">
        <v>181</v>
      </c>
      <c r="D490" s="438" t="s">
        <v>358</v>
      </c>
      <c r="E490" s="438" t="s">
        <v>798</v>
      </c>
      <c r="F490" s="512">
        <v>66653</v>
      </c>
      <c r="G490" s="512">
        <v>0</v>
      </c>
      <c r="H490" s="512">
        <v>17189</v>
      </c>
      <c r="I490" s="512">
        <v>0</v>
      </c>
      <c r="J490" s="512">
        <f t="shared" si="16"/>
        <v>83842</v>
      </c>
      <c r="K490" s="512">
        <v>124635</v>
      </c>
      <c r="L490" s="512">
        <v>0</v>
      </c>
      <c r="M490" s="512">
        <v>19609</v>
      </c>
      <c r="N490" s="512">
        <v>0</v>
      </c>
      <c r="O490" s="512">
        <f t="shared" si="17"/>
        <v>144244</v>
      </c>
    </row>
    <row r="491" spans="1:15" ht="14.45" customHeight="1">
      <c r="A491" s="572" t="str">
        <f t="shared" si="15"/>
        <v>Infinitum 549Residencial</v>
      </c>
      <c r="B491" s="437">
        <f t="shared" si="18"/>
        <v>16</v>
      </c>
      <c r="C491" s="255" t="s">
        <v>183</v>
      </c>
      <c r="D491" s="438" t="s">
        <v>358</v>
      </c>
      <c r="E491" s="438" t="s">
        <v>798</v>
      </c>
      <c r="F491" s="512">
        <v>99431</v>
      </c>
      <c r="G491" s="512">
        <v>0</v>
      </c>
      <c r="H491" s="512">
        <v>20099</v>
      </c>
      <c r="I491" s="512">
        <v>0</v>
      </c>
      <c r="J491" s="512">
        <f t="shared" si="16"/>
        <v>119530</v>
      </c>
      <c r="K491" s="512">
        <v>139642</v>
      </c>
      <c r="L491" s="512">
        <v>0</v>
      </c>
      <c r="M491" s="512">
        <v>30546</v>
      </c>
      <c r="N491" s="512">
        <v>0</v>
      </c>
      <c r="O491" s="512">
        <f t="shared" si="17"/>
        <v>170188</v>
      </c>
    </row>
    <row r="492" spans="1:15" ht="14.45" customHeight="1">
      <c r="A492" s="572" t="str">
        <f t="shared" si="15"/>
        <v>Infinitum 899Residencial</v>
      </c>
      <c r="B492" s="437">
        <f t="shared" si="18"/>
        <v>17</v>
      </c>
      <c r="C492" s="255" t="s">
        <v>185</v>
      </c>
      <c r="D492" s="438" t="s">
        <v>358</v>
      </c>
      <c r="E492" s="438" t="s">
        <v>798</v>
      </c>
      <c r="F492" s="512">
        <v>12652</v>
      </c>
      <c r="G492" s="512">
        <v>0</v>
      </c>
      <c r="H492" s="512">
        <v>3903</v>
      </c>
      <c r="I492" s="512">
        <v>0</v>
      </c>
      <c r="J492" s="512">
        <f t="shared" si="16"/>
        <v>16555</v>
      </c>
      <c r="K492" s="512">
        <v>19250</v>
      </c>
      <c r="L492" s="512">
        <v>0</v>
      </c>
      <c r="M492" s="512">
        <v>5062</v>
      </c>
      <c r="N492" s="512">
        <v>0</v>
      </c>
      <c r="O492" s="512">
        <f t="shared" si="17"/>
        <v>24312</v>
      </c>
    </row>
    <row r="493" spans="1:15" ht="14.45" customHeight="1">
      <c r="A493" s="572" t="str">
        <f t="shared" si="15"/>
        <v>Paquete Conectes NegocioNo Residencial</v>
      </c>
      <c r="B493" s="437">
        <f t="shared" si="18"/>
        <v>18</v>
      </c>
      <c r="C493" s="255" t="s">
        <v>195</v>
      </c>
      <c r="D493" s="438" t="s">
        <v>359</v>
      </c>
      <c r="E493" s="438" t="s">
        <v>796</v>
      </c>
      <c r="F493" s="512">
        <v>454562</v>
      </c>
      <c r="G493" s="512">
        <v>0</v>
      </c>
      <c r="H493" s="512">
        <v>6578</v>
      </c>
      <c r="I493" s="512">
        <v>0</v>
      </c>
      <c r="J493" s="512">
        <f t="shared" si="16"/>
        <v>461140</v>
      </c>
      <c r="K493" s="512">
        <v>626660</v>
      </c>
      <c r="L493" s="512">
        <v>0</v>
      </c>
      <c r="M493" s="512">
        <v>11366</v>
      </c>
      <c r="N493" s="512">
        <v>0</v>
      </c>
      <c r="O493" s="512">
        <f t="shared" si="17"/>
        <v>638026</v>
      </c>
    </row>
    <row r="494" spans="1:15" ht="14.45" customHeight="1">
      <c r="A494" s="572" t="str">
        <f t="shared" si="15"/>
        <v>Paquete Mi NegocioNo Residencial</v>
      </c>
      <c r="B494" s="437">
        <f t="shared" si="18"/>
        <v>19</v>
      </c>
      <c r="C494" s="255" t="s">
        <v>197</v>
      </c>
      <c r="D494" s="438" t="s">
        <v>359</v>
      </c>
      <c r="E494" s="438" t="s">
        <v>796</v>
      </c>
      <c r="F494" s="512">
        <v>432120</v>
      </c>
      <c r="G494" s="512">
        <v>0</v>
      </c>
      <c r="H494" s="512">
        <v>1755</v>
      </c>
      <c r="I494" s="512">
        <v>0</v>
      </c>
      <c r="J494" s="512">
        <f t="shared" si="16"/>
        <v>433875</v>
      </c>
      <c r="K494" s="512">
        <v>451786</v>
      </c>
      <c r="L494" s="512">
        <v>0</v>
      </c>
      <c r="M494" s="512">
        <v>3163</v>
      </c>
      <c r="N494" s="512">
        <v>0</v>
      </c>
      <c r="O494" s="512">
        <f t="shared" si="17"/>
        <v>454949</v>
      </c>
    </row>
    <row r="495" spans="1:15" ht="14.45" customHeight="1">
      <c r="A495" s="572" t="str">
        <f t="shared" si="15"/>
        <v>Paquete Negocio 649No Residencial</v>
      </c>
      <c r="B495" s="437">
        <f t="shared" si="18"/>
        <v>20</v>
      </c>
      <c r="C495" s="255" t="s">
        <v>199</v>
      </c>
      <c r="D495" s="438" t="s">
        <v>359</v>
      </c>
      <c r="E495" s="438" t="s">
        <v>796</v>
      </c>
      <c r="F495" s="512">
        <v>2069</v>
      </c>
      <c r="G495" s="512">
        <v>0</v>
      </c>
      <c r="H495" s="512">
        <v>91</v>
      </c>
      <c r="I495" s="512">
        <v>0</v>
      </c>
      <c r="J495" s="512">
        <f t="shared" si="16"/>
        <v>2160</v>
      </c>
      <c r="K495" s="512">
        <v>9110</v>
      </c>
      <c r="L495" s="512">
        <v>0</v>
      </c>
      <c r="M495" s="512">
        <v>402</v>
      </c>
      <c r="N495" s="512">
        <v>0</v>
      </c>
      <c r="O495" s="512">
        <f t="shared" si="17"/>
        <v>9512</v>
      </c>
    </row>
    <row r="496" spans="1:15" ht="14.45" customHeight="1">
      <c r="A496" s="572" t="str">
        <f t="shared" si="15"/>
        <v>Paquete SupernegocioNo Residencial</v>
      </c>
      <c r="B496" s="437">
        <f t="shared" si="18"/>
        <v>21</v>
      </c>
      <c r="C496" s="255" t="s">
        <v>201</v>
      </c>
      <c r="D496" s="438" t="s">
        <v>359</v>
      </c>
      <c r="E496" s="438" t="s">
        <v>796</v>
      </c>
      <c r="F496" s="512">
        <v>241330</v>
      </c>
      <c r="G496" s="512">
        <v>0</v>
      </c>
      <c r="H496" s="512">
        <v>3574</v>
      </c>
      <c r="I496" s="512">
        <v>0</v>
      </c>
      <c r="J496" s="512">
        <f t="shared" si="16"/>
        <v>244904</v>
      </c>
      <c r="K496" s="512">
        <v>224634</v>
      </c>
      <c r="L496" s="512">
        <v>0</v>
      </c>
      <c r="M496" s="512">
        <v>4424</v>
      </c>
      <c r="N496" s="512">
        <v>0</v>
      </c>
      <c r="O496" s="512">
        <f t="shared" si="17"/>
        <v>229058</v>
      </c>
    </row>
    <row r="497" spans="1:15" ht="14.45" customHeight="1">
      <c r="A497" s="572" t="str">
        <f t="shared" si="15"/>
        <v>Paquete Negocio 999No Residencial</v>
      </c>
      <c r="B497" s="437">
        <f t="shared" si="18"/>
        <v>22</v>
      </c>
      <c r="C497" s="255" t="s">
        <v>203</v>
      </c>
      <c r="D497" s="438" t="s">
        <v>359</v>
      </c>
      <c r="E497" s="438" t="s">
        <v>796</v>
      </c>
      <c r="F497" s="512">
        <v>391</v>
      </c>
      <c r="G497" s="512">
        <v>0</v>
      </c>
      <c r="H497" s="512">
        <v>79</v>
      </c>
      <c r="I497" s="512">
        <v>0</v>
      </c>
      <c r="J497" s="512">
        <f t="shared" si="16"/>
        <v>470</v>
      </c>
      <c r="K497" s="512">
        <v>2840</v>
      </c>
      <c r="L497" s="512">
        <v>0</v>
      </c>
      <c r="M497" s="512">
        <v>866</v>
      </c>
      <c r="N497" s="512">
        <v>0</v>
      </c>
      <c r="O497" s="512">
        <f t="shared" si="17"/>
        <v>3706</v>
      </c>
    </row>
    <row r="498" spans="1:15" ht="14.45" customHeight="1">
      <c r="A498" s="572" t="str">
        <f t="shared" si="15"/>
        <v>Paquete Telmex Negocio Ilimitado 1No Residencial</v>
      </c>
      <c r="B498" s="437">
        <f t="shared" si="18"/>
        <v>23</v>
      </c>
      <c r="C498" s="255" t="s">
        <v>205</v>
      </c>
      <c r="D498" s="438" t="s">
        <v>359</v>
      </c>
      <c r="E498" s="438" t="s">
        <v>796</v>
      </c>
      <c r="F498" s="512">
        <v>45</v>
      </c>
      <c r="G498" s="512">
        <v>0</v>
      </c>
      <c r="H498" s="512">
        <v>6</v>
      </c>
      <c r="I498" s="512">
        <v>0</v>
      </c>
      <c r="J498" s="512">
        <f t="shared" si="16"/>
        <v>51</v>
      </c>
      <c r="K498" s="512">
        <v>83</v>
      </c>
      <c r="L498" s="512">
        <v>0</v>
      </c>
      <c r="M498" s="512">
        <v>10</v>
      </c>
      <c r="N498" s="512">
        <v>0</v>
      </c>
      <c r="O498" s="512">
        <f t="shared" si="17"/>
        <v>93</v>
      </c>
    </row>
    <row r="499" spans="1:15" ht="14.45" customHeight="1">
      <c r="A499" s="572" t="str">
        <f t="shared" si="15"/>
        <v>Paquete Telmex Negocio Ilimitado 2No Residencial</v>
      </c>
      <c r="B499" s="437">
        <f t="shared" si="18"/>
        <v>24</v>
      </c>
      <c r="C499" s="255" t="s">
        <v>206</v>
      </c>
      <c r="D499" s="438" t="s">
        <v>359</v>
      </c>
      <c r="E499" s="438" t="s">
        <v>796</v>
      </c>
      <c r="F499" s="512">
        <v>12</v>
      </c>
      <c r="G499" s="512">
        <v>0</v>
      </c>
      <c r="H499" s="512">
        <v>3</v>
      </c>
      <c r="I499" s="512">
        <v>0</v>
      </c>
      <c r="J499" s="512">
        <f t="shared" si="16"/>
        <v>15</v>
      </c>
      <c r="K499" s="512">
        <v>34</v>
      </c>
      <c r="L499" s="512">
        <v>0</v>
      </c>
      <c r="M499" s="512">
        <v>4</v>
      </c>
      <c r="N499" s="512">
        <v>0</v>
      </c>
      <c r="O499" s="512">
        <f t="shared" si="17"/>
        <v>38</v>
      </c>
    </row>
    <row r="500" spans="1:15" ht="14.45" customHeight="1">
      <c r="A500" s="572" t="str">
        <f t="shared" si="15"/>
        <v>Paquete Telmex Negocio Ilimitado 3No Residencial</v>
      </c>
      <c r="B500" s="437">
        <f t="shared" si="18"/>
        <v>25</v>
      </c>
      <c r="C500" s="255" t="s">
        <v>207</v>
      </c>
      <c r="D500" s="438" t="s">
        <v>359</v>
      </c>
      <c r="E500" s="438" t="s">
        <v>796</v>
      </c>
      <c r="F500" s="512">
        <v>13</v>
      </c>
      <c r="G500" s="512">
        <v>0</v>
      </c>
      <c r="H500" s="512">
        <v>3</v>
      </c>
      <c r="I500" s="512">
        <v>0</v>
      </c>
      <c r="J500" s="512">
        <f t="shared" si="16"/>
        <v>16</v>
      </c>
      <c r="K500" s="512">
        <v>15</v>
      </c>
      <c r="L500" s="512">
        <v>0</v>
      </c>
      <c r="M500" s="512">
        <v>4</v>
      </c>
      <c r="N500" s="512">
        <v>0</v>
      </c>
      <c r="O500" s="512">
        <f t="shared" si="17"/>
        <v>19</v>
      </c>
    </row>
    <row r="501" spans="1:15" ht="14.45" customHeight="1">
      <c r="A501" s="572" t="str">
        <f t="shared" si="15"/>
        <v>Infinitum 299 NNo Residencial</v>
      </c>
      <c r="B501" s="437">
        <f t="shared" si="18"/>
        <v>26</v>
      </c>
      <c r="C501" s="423" t="s">
        <v>188</v>
      </c>
      <c r="D501" s="438" t="s">
        <v>359</v>
      </c>
      <c r="E501" s="438" t="s">
        <v>798</v>
      </c>
      <c r="F501" s="512">
        <v>2640</v>
      </c>
      <c r="G501" s="512">
        <v>0</v>
      </c>
      <c r="H501" s="512">
        <v>0</v>
      </c>
      <c r="I501" s="512">
        <v>0</v>
      </c>
      <c r="J501" s="512">
        <f t="shared" si="16"/>
        <v>2640</v>
      </c>
      <c r="K501" s="512">
        <v>5005</v>
      </c>
      <c r="L501" s="512">
        <v>0</v>
      </c>
      <c r="M501" s="512">
        <v>0</v>
      </c>
      <c r="N501" s="512">
        <v>0</v>
      </c>
      <c r="O501" s="512">
        <f t="shared" si="17"/>
        <v>5005</v>
      </c>
    </row>
    <row r="502" spans="1:15" ht="14.45" customHeight="1">
      <c r="A502" s="572" t="str">
        <f t="shared" si="15"/>
        <v>Infinitum Negocio 349No Residencial</v>
      </c>
      <c r="B502" s="437">
        <f t="shared" si="18"/>
        <v>27</v>
      </c>
      <c r="C502" s="255" t="s">
        <v>190</v>
      </c>
      <c r="D502" s="438" t="s">
        <v>359</v>
      </c>
      <c r="E502" s="438" t="s">
        <v>798</v>
      </c>
      <c r="F502" s="512">
        <v>80949</v>
      </c>
      <c r="G502" s="512">
        <v>0</v>
      </c>
      <c r="H502" s="512">
        <v>3351</v>
      </c>
      <c r="I502" s="512">
        <v>0</v>
      </c>
      <c r="J502" s="512">
        <f t="shared" si="16"/>
        <v>84300</v>
      </c>
      <c r="K502" s="512">
        <v>123706</v>
      </c>
      <c r="L502" s="512">
        <v>0</v>
      </c>
      <c r="M502" s="512">
        <v>2967</v>
      </c>
      <c r="N502" s="512">
        <v>0</v>
      </c>
      <c r="O502" s="512">
        <f t="shared" si="17"/>
        <v>126673</v>
      </c>
    </row>
    <row r="503" spans="1:15" ht="14.45" customHeight="1">
      <c r="A503" s="572" t="str">
        <f t="shared" si="15"/>
        <v>Infinitum Negocio 399No Residencial</v>
      </c>
      <c r="B503" s="437">
        <f t="shared" si="18"/>
        <v>28</v>
      </c>
      <c r="C503" s="255" t="s">
        <v>192</v>
      </c>
      <c r="D503" s="438" t="s">
        <v>359</v>
      </c>
      <c r="E503" s="438" t="s">
        <v>798</v>
      </c>
      <c r="F503" s="512">
        <v>5441</v>
      </c>
      <c r="G503" s="512">
        <v>0</v>
      </c>
      <c r="H503" s="512">
        <v>63</v>
      </c>
      <c r="I503" s="512">
        <v>0</v>
      </c>
      <c r="J503" s="512">
        <f t="shared" si="16"/>
        <v>5504</v>
      </c>
      <c r="K503" s="512">
        <v>17359</v>
      </c>
      <c r="L503" s="512">
        <v>0</v>
      </c>
      <c r="M503" s="512">
        <v>425</v>
      </c>
      <c r="N503" s="512">
        <v>0</v>
      </c>
      <c r="O503" s="512">
        <f t="shared" si="17"/>
        <v>17784</v>
      </c>
    </row>
    <row r="504" spans="1:15" ht="14.45" customHeight="1">
      <c r="A504" s="572" t="str">
        <f t="shared" si="15"/>
        <v>Infinitum Negocio 449No Residencial</v>
      </c>
      <c r="B504" s="437">
        <f t="shared" si="18"/>
        <v>29</v>
      </c>
      <c r="C504" s="255" t="s">
        <v>193</v>
      </c>
      <c r="D504" s="438" t="s">
        <v>359</v>
      </c>
      <c r="E504" s="438" t="s">
        <v>798</v>
      </c>
      <c r="F504" s="512">
        <v>5713</v>
      </c>
      <c r="G504" s="512">
        <v>0</v>
      </c>
      <c r="H504" s="512">
        <v>349</v>
      </c>
      <c r="I504" s="512">
        <v>0</v>
      </c>
      <c r="J504" s="512">
        <f t="shared" si="16"/>
        <v>6062</v>
      </c>
      <c r="K504" s="512">
        <v>11258</v>
      </c>
      <c r="L504" s="512">
        <v>0</v>
      </c>
      <c r="M504" s="512">
        <v>571</v>
      </c>
      <c r="N504" s="512">
        <v>0</v>
      </c>
      <c r="O504" s="512">
        <f t="shared" si="17"/>
        <v>11829</v>
      </c>
    </row>
    <row r="505" spans="1:15" ht="14.45" customHeight="1">
      <c r="A505" s="572" t="str">
        <f t="shared" si="15"/>
        <v>Infinitum Negocio 549No Residencial</v>
      </c>
      <c r="B505" s="437">
        <f t="shared" si="18"/>
        <v>30</v>
      </c>
      <c r="C505" s="255" t="s">
        <v>194</v>
      </c>
      <c r="D505" s="438" t="s">
        <v>359</v>
      </c>
      <c r="E505" s="438" t="s">
        <v>798</v>
      </c>
      <c r="F505" s="512">
        <v>17379</v>
      </c>
      <c r="G505" s="512">
        <v>0</v>
      </c>
      <c r="H505" s="512">
        <v>435</v>
      </c>
      <c r="I505" s="512">
        <v>0</v>
      </c>
      <c r="J505" s="512">
        <f t="shared" si="16"/>
        <v>17814</v>
      </c>
      <c r="K505" s="512">
        <v>22974</v>
      </c>
      <c r="L505" s="512">
        <v>0</v>
      </c>
      <c r="M505" s="512">
        <v>380</v>
      </c>
      <c r="N505" s="512">
        <v>0</v>
      </c>
      <c r="O505" s="512">
        <f t="shared" si="17"/>
        <v>23354</v>
      </c>
    </row>
    <row r="506" spans="1:15" ht="14.45" customHeight="1">
      <c r="A506" s="572" t="str">
        <f t="shared" si="15"/>
        <v>Infinitum Negocio 899No Residencial</v>
      </c>
      <c r="B506" s="437">
        <f t="shared" si="18"/>
        <v>31</v>
      </c>
      <c r="C506" s="255" t="s">
        <v>196</v>
      </c>
      <c r="D506" s="438" t="s">
        <v>359</v>
      </c>
      <c r="E506" s="438" t="s">
        <v>798</v>
      </c>
      <c r="F506" s="512">
        <v>4565</v>
      </c>
      <c r="G506" s="512">
        <v>0</v>
      </c>
      <c r="H506" s="512">
        <v>366</v>
      </c>
      <c r="I506" s="512">
        <v>0</v>
      </c>
      <c r="J506" s="512">
        <f t="shared" si="16"/>
        <v>4931</v>
      </c>
      <c r="K506" s="512">
        <v>5506</v>
      </c>
      <c r="L506" s="512">
        <v>0</v>
      </c>
      <c r="M506" s="512">
        <v>228</v>
      </c>
      <c r="N506" s="512">
        <v>0</v>
      </c>
      <c r="O506" s="512">
        <f t="shared" si="17"/>
        <v>5734</v>
      </c>
    </row>
    <row r="507" spans="1:15" ht="14.45" customHeight="1">
      <c r="A507" s="572" t="str">
        <f t="shared" si="15"/>
        <v>Infinitum NegocioNo Residencial</v>
      </c>
      <c r="B507" s="437">
        <f t="shared" si="18"/>
        <v>32</v>
      </c>
      <c r="C507" s="255" t="s">
        <v>198</v>
      </c>
      <c r="D507" s="438" t="s">
        <v>359</v>
      </c>
      <c r="E507" s="438" t="s">
        <v>796</v>
      </c>
      <c r="F507" s="512">
        <v>37819</v>
      </c>
      <c r="G507" s="512">
        <v>0</v>
      </c>
      <c r="H507" s="512">
        <v>0</v>
      </c>
      <c r="I507" s="512">
        <v>0</v>
      </c>
      <c r="J507" s="512">
        <f t="shared" si="16"/>
        <v>37819</v>
      </c>
      <c r="K507" s="512">
        <v>41004</v>
      </c>
      <c r="L507" s="512">
        <v>0</v>
      </c>
      <c r="M507" s="512">
        <v>0</v>
      </c>
      <c r="N507" s="512">
        <v>0</v>
      </c>
      <c r="O507" s="512">
        <f t="shared" si="17"/>
        <v>41004</v>
      </c>
    </row>
    <row r="508" spans="1:15" ht="14.45" customHeight="1">
      <c r="A508" s="572" t="str">
        <f t="shared" si="15"/>
        <v>Infinitum Negocio RedNo Residencial</v>
      </c>
      <c r="B508" s="437">
        <f t="shared" si="18"/>
        <v>33</v>
      </c>
      <c r="C508" s="255" t="s">
        <v>200</v>
      </c>
      <c r="D508" s="438" t="s">
        <v>359</v>
      </c>
      <c r="E508" s="438" t="s">
        <v>796</v>
      </c>
      <c r="F508" s="512">
        <v>11350</v>
      </c>
      <c r="G508" s="512">
        <v>0</v>
      </c>
      <c r="H508" s="512">
        <v>0</v>
      </c>
      <c r="I508" s="512">
        <v>0</v>
      </c>
      <c r="J508" s="512">
        <f t="shared" si="16"/>
        <v>11350</v>
      </c>
      <c r="K508" s="512">
        <v>8812</v>
      </c>
      <c r="L508" s="512">
        <v>0</v>
      </c>
      <c r="M508" s="512">
        <v>0</v>
      </c>
      <c r="N508" s="512">
        <v>0</v>
      </c>
      <c r="O508" s="512">
        <f t="shared" si="17"/>
        <v>8812</v>
      </c>
    </row>
    <row r="509" spans="1:15" ht="14.45" customHeight="1">
      <c r="A509" s="572" t="str">
        <f t="shared" si="15"/>
        <v>Infinitum Negocio PremiumNo Residencial</v>
      </c>
      <c r="B509" s="437">
        <f t="shared" si="18"/>
        <v>34</v>
      </c>
      <c r="C509" s="255" t="s">
        <v>202</v>
      </c>
      <c r="D509" s="438" t="s">
        <v>359</v>
      </c>
      <c r="E509" s="438" t="s">
        <v>796</v>
      </c>
      <c r="F509" s="512">
        <v>12076</v>
      </c>
      <c r="G509" s="512">
        <v>0</v>
      </c>
      <c r="H509" s="512">
        <v>0</v>
      </c>
      <c r="I509" s="512">
        <v>0</v>
      </c>
      <c r="J509" s="512">
        <f t="shared" si="16"/>
        <v>12076</v>
      </c>
      <c r="K509" s="512">
        <v>12474</v>
      </c>
      <c r="L509" s="512">
        <v>0</v>
      </c>
      <c r="M509" s="512">
        <v>0</v>
      </c>
      <c r="N509" s="512">
        <v>0</v>
      </c>
      <c r="O509" s="512">
        <f t="shared" si="17"/>
        <v>12474</v>
      </c>
    </row>
    <row r="510" spans="1:15" ht="14.45" customHeight="1">
      <c r="B510" s="437">
        <f t="shared" si="18"/>
        <v>35</v>
      </c>
      <c r="C510" s="255" t="s">
        <v>518</v>
      </c>
      <c r="D510" s="438" t="s">
        <v>359</v>
      </c>
      <c r="E510" s="438" t="s">
        <v>796</v>
      </c>
      <c r="F510" s="512">
        <v>12704</v>
      </c>
      <c r="G510" s="512">
        <v>0</v>
      </c>
      <c r="H510" s="512">
        <v>86</v>
      </c>
      <c r="I510" s="512">
        <v>0</v>
      </c>
      <c r="J510" s="512">
        <f t="shared" si="16"/>
        <v>12790</v>
      </c>
      <c r="K510" s="512">
        <v>11951</v>
      </c>
      <c r="L510" s="512">
        <v>0</v>
      </c>
      <c r="M510" s="512">
        <v>63</v>
      </c>
      <c r="N510" s="512">
        <v>0</v>
      </c>
      <c r="O510" s="512">
        <f t="shared" si="17"/>
        <v>12014</v>
      </c>
    </row>
    <row r="511" spans="1:15" ht="14.45" customHeight="1">
      <c r="B511" s="437">
        <f t="shared" si="18"/>
        <v>36</v>
      </c>
      <c r="C511" s="255" t="s">
        <v>521</v>
      </c>
      <c r="D511" s="438" t="s">
        <v>359</v>
      </c>
      <c r="E511" s="438" t="s">
        <v>796</v>
      </c>
      <c r="F511" s="512">
        <v>18313</v>
      </c>
      <c r="G511" s="512">
        <v>0</v>
      </c>
      <c r="H511" s="512">
        <v>24</v>
      </c>
      <c r="I511" s="512">
        <v>0</v>
      </c>
      <c r="J511" s="512">
        <f t="shared" si="16"/>
        <v>18337</v>
      </c>
      <c r="K511" s="512">
        <v>11361</v>
      </c>
      <c r="L511" s="512">
        <v>0</v>
      </c>
      <c r="M511" s="512">
        <v>24</v>
      </c>
      <c r="N511" s="512">
        <v>0</v>
      </c>
      <c r="O511" s="512">
        <f t="shared" si="17"/>
        <v>11385</v>
      </c>
    </row>
    <row r="512" spans="1:15" ht="14.45" customHeight="1">
      <c r="B512" s="437">
        <f t="shared" si="18"/>
        <v>37</v>
      </c>
      <c r="C512" s="255" t="s">
        <v>502</v>
      </c>
      <c r="D512" s="438" t="s">
        <v>359</v>
      </c>
      <c r="E512" s="438" t="s">
        <v>796</v>
      </c>
      <c r="F512" s="512">
        <v>0</v>
      </c>
      <c r="G512" s="512">
        <v>0</v>
      </c>
      <c r="H512" s="512">
        <v>0</v>
      </c>
      <c r="I512" s="512">
        <v>0</v>
      </c>
      <c r="J512" s="512">
        <f t="shared" si="16"/>
        <v>0</v>
      </c>
      <c r="K512" s="512">
        <v>0</v>
      </c>
      <c r="L512" s="512">
        <v>0</v>
      </c>
      <c r="M512" s="512">
        <v>0</v>
      </c>
      <c r="N512" s="512">
        <v>0</v>
      </c>
      <c r="O512" s="512">
        <f t="shared" si="17"/>
        <v>0</v>
      </c>
    </row>
    <row r="513" spans="2:15" ht="14.45" customHeight="1">
      <c r="B513" s="437">
        <f t="shared" si="18"/>
        <v>38</v>
      </c>
      <c r="C513" s="255" t="s">
        <v>504</v>
      </c>
      <c r="D513" s="438" t="s">
        <v>359</v>
      </c>
      <c r="E513" s="438" t="s">
        <v>796</v>
      </c>
      <c r="F513" s="512">
        <v>0</v>
      </c>
      <c r="G513" s="512">
        <v>0</v>
      </c>
      <c r="H513" s="512">
        <v>0</v>
      </c>
      <c r="I513" s="512">
        <v>0</v>
      </c>
      <c r="J513" s="512">
        <f t="shared" si="16"/>
        <v>0</v>
      </c>
      <c r="K513" s="512">
        <v>0</v>
      </c>
      <c r="L513" s="512">
        <v>0</v>
      </c>
      <c r="M513" s="512">
        <v>0</v>
      </c>
      <c r="N513" s="512">
        <v>0</v>
      </c>
      <c r="O513" s="512">
        <f t="shared" si="17"/>
        <v>0</v>
      </c>
    </row>
    <row r="514" spans="2:15" ht="14.45" customHeight="1">
      <c r="B514" s="437">
        <f t="shared" si="18"/>
        <v>39</v>
      </c>
      <c r="C514" s="255" t="s">
        <v>1022</v>
      </c>
      <c r="D514" s="438" t="s">
        <v>359</v>
      </c>
      <c r="E514" s="438" t="s">
        <v>796</v>
      </c>
      <c r="F514" s="512">
        <v>0</v>
      </c>
      <c r="G514" s="512">
        <v>0</v>
      </c>
      <c r="H514" s="512">
        <v>0</v>
      </c>
      <c r="I514" s="512">
        <v>0</v>
      </c>
      <c r="J514" s="512">
        <f t="shared" si="16"/>
        <v>0</v>
      </c>
      <c r="K514" s="512">
        <v>0</v>
      </c>
      <c r="L514" s="512">
        <v>0</v>
      </c>
      <c r="M514" s="512">
        <v>0</v>
      </c>
      <c r="N514" s="512">
        <v>0</v>
      </c>
      <c r="O514" s="512">
        <f t="shared" si="17"/>
        <v>0</v>
      </c>
    </row>
    <row r="515" spans="2:15" ht="14.45" customHeight="1">
      <c r="B515" s="437">
        <f t="shared" si="18"/>
        <v>40</v>
      </c>
      <c r="C515" s="255" t="s">
        <v>461</v>
      </c>
      <c r="D515" s="438" t="s">
        <v>1023</v>
      </c>
      <c r="E515" s="438" t="s">
        <v>1024</v>
      </c>
      <c r="F515" s="89"/>
      <c r="G515" s="89"/>
      <c r="H515" s="89"/>
      <c r="I515" s="89"/>
      <c r="J515" s="89"/>
      <c r="K515" s="89"/>
      <c r="L515" s="89"/>
      <c r="M515" s="89"/>
      <c r="N515" s="89"/>
      <c r="O515" s="89"/>
    </row>
    <row r="516" spans="2:15" ht="14.45" customHeight="1">
      <c r="B516" s="437">
        <f t="shared" si="18"/>
        <v>41</v>
      </c>
      <c r="C516" s="255" t="s">
        <v>461</v>
      </c>
      <c r="D516" s="438" t="s">
        <v>1023</v>
      </c>
      <c r="E516" s="438" t="s">
        <v>1024</v>
      </c>
      <c r="F516" s="89"/>
      <c r="G516" s="89"/>
      <c r="H516" s="89"/>
      <c r="I516" s="89"/>
      <c r="J516" s="89"/>
      <c r="K516" s="89"/>
      <c r="L516" s="89"/>
      <c r="M516" s="89"/>
      <c r="N516" s="89"/>
      <c r="O516" s="89"/>
    </row>
    <row r="517" spans="2:15" ht="14.45" customHeight="1">
      <c r="B517" s="437">
        <f t="shared" si="18"/>
        <v>42</v>
      </c>
      <c r="C517" s="255" t="s">
        <v>461</v>
      </c>
      <c r="D517" s="438" t="s">
        <v>1023</v>
      </c>
      <c r="E517" s="438" t="s">
        <v>1024</v>
      </c>
      <c r="F517" s="89"/>
      <c r="G517" s="89"/>
      <c r="H517" s="89"/>
      <c r="I517" s="89"/>
      <c r="J517" s="89"/>
      <c r="K517" s="89"/>
      <c r="L517" s="89"/>
      <c r="M517" s="89"/>
      <c r="N517" s="89"/>
      <c r="O517" s="89"/>
    </row>
    <row r="518" spans="2:15" ht="14.45" customHeight="1">
      <c r="B518" s="437">
        <f t="shared" si="18"/>
        <v>43</v>
      </c>
      <c r="C518" s="255" t="s">
        <v>166</v>
      </c>
      <c r="D518" s="438" t="s">
        <v>1023</v>
      </c>
      <c r="E518" s="438" t="s">
        <v>1024</v>
      </c>
      <c r="F518" s="89"/>
      <c r="G518" s="89"/>
      <c r="H518" s="89"/>
      <c r="I518" s="89"/>
      <c r="J518" s="484"/>
      <c r="K518" s="89"/>
      <c r="L518" s="89"/>
      <c r="M518" s="89"/>
      <c r="N518" s="89"/>
      <c r="O518" s="484"/>
    </row>
    <row r="519" spans="2:15" ht="14.45" customHeight="1">
      <c r="B519" s="437">
        <f t="shared" si="18"/>
        <v>44</v>
      </c>
      <c r="C519" s="255" t="s">
        <v>169</v>
      </c>
      <c r="D519" s="438" t="s">
        <v>1023</v>
      </c>
      <c r="E519" s="438" t="s">
        <v>1024</v>
      </c>
      <c r="F519" s="89"/>
      <c r="G519" s="89"/>
      <c r="H519" s="89"/>
      <c r="I519" s="89"/>
      <c r="J519" s="484"/>
      <c r="K519" s="89"/>
      <c r="L519" s="89"/>
      <c r="M519" s="89"/>
      <c r="N519" s="89"/>
      <c r="O519" s="484"/>
    </row>
    <row r="520" spans="2:15" ht="14.45" customHeight="1">
      <c r="B520" s="437">
        <f t="shared" si="18"/>
        <v>45</v>
      </c>
      <c r="C520" s="255" t="s">
        <v>173</v>
      </c>
      <c r="D520" s="438" t="s">
        <v>1023</v>
      </c>
      <c r="E520" s="438" t="s">
        <v>1024</v>
      </c>
      <c r="F520" s="89"/>
      <c r="G520" s="89"/>
      <c r="H520" s="89"/>
      <c r="I520" s="89"/>
      <c r="J520" s="484"/>
      <c r="K520" s="89"/>
      <c r="L520" s="89"/>
      <c r="M520" s="89"/>
      <c r="N520" s="89"/>
      <c r="O520" s="484"/>
    </row>
    <row r="521" spans="2:15" ht="14.45" customHeight="1">
      <c r="B521" s="437">
        <f t="shared" si="18"/>
        <v>46</v>
      </c>
      <c r="C521" s="255" t="s">
        <v>177</v>
      </c>
      <c r="D521" s="438" t="s">
        <v>1023</v>
      </c>
      <c r="E521" s="438" t="s">
        <v>1024</v>
      </c>
      <c r="F521" s="89"/>
      <c r="G521" s="89"/>
      <c r="H521" s="89"/>
      <c r="I521" s="89"/>
      <c r="J521" s="484"/>
      <c r="K521" s="89"/>
      <c r="L521" s="89"/>
      <c r="M521" s="89"/>
      <c r="N521" s="89"/>
      <c r="O521" s="484"/>
    </row>
    <row r="522" spans="2:15" ht="14.45" customHeight="1">
      <c r="B522" s="437">
        <f t="shared" si="18"/>
        <v>47</v>
      </c>
      <c r="C522" s="255" t="s">
        <v>180</v>
      </c>
      <c r="D522" s="438" t="s">
        <v>1023</v>
      </c>
      <c r="E522" s="438" t="s">
        <v>1024</v>
      </c>
      <c r="F522" s="89"/>
      <c r="G522" s="89"/>
      <c r="H522" s="89"/>
      <c r="I522" s="89"/>
      <c r="J522" s="484"/>
      <c r="K522" s="89"/>
      <c r="L522" s="89"/>
      <c r="M522" s="89"/>
      <c r="N522" s="89"/>
      <c r="O522" s="484"/>
    </row>
    <row r="523" spans="2:15" ht="14.45" customHeight="1">
      <c r="B523" s="437">
        <f t="shared" si="18"/>
        <v>48</v>
      </c>
      <c r="C523" s="255" t="s">
        <v>182</v>
      </c>
      <c r="D523" s="438" t="s">
        <v>1023</v>
      </c>
      <c r="E523" s="438" t="s">
        <v>1024</v>
      </c>
      <c r="F523" s="89"/>
      <c r="G523" s="89"/>
      <c r="H523" s="89"/>
      <c r="I523" s="89"/>
      <c r="J523" s="484"/>
      <c r="K523" s="89"/>
      <c r="L523" s="89"/>
      <c r="M523" s="89"/>
      <c r="N523" s="89"/>
      <c r="O523" s="484"/>
    </row>
    <row r="524" spans="2:15" ht="14.45" customHeight="1">
      <c r="B524" s="437">
        <f t="shared" si="18"/>
        <v>49</v>
      </c>
      <c r="C524" s="255" t="s">
        <v>184</v>
      </c>
      <c r="D524" s="438" t="s">
        <v>1023</v>
      </c>
      <c r="E524" s="438" t="s">
        <v>1024</v>
      </c>
      <c r="F524" s="89"/>
      <c r="G524" s="89"/>
      <c r="H524" s="89"/>
      <c r="I524" s="89"/>
      <c r="J524" s="484"/>
      <c r="K524" s="89"/>
      <c r="L524" s="89"/>
      <c r="M524" s="89"/>
      <c r="N524" s="89"/>
      <c r="O524" s="484"/>
    </row>
    <row r="525" spans="2:15" ht="14.45" customHeight="1">
      <c r="B525" s="437">
        <f t="shared" si="18"/>
        <v>50</v>
      </c>
      <c r="C525" s="255" t="s">
        <v>187</v>
      </c>
      <c r="D525" s="438" t="s">
        <v>1023</v>
      </c>
      <c r="E525" s="438" t="s">
        <v>1024</v>
      </c>
      <c r="F525" s="89"/>
      <c r="G525" s="89"/>
      <c r="H525" s="89"/>
      <c r="I525" s="89"/>
      <c r="J525" s="484"/>
      <c r="K525" s="89"/>
      <c r="L525" s="89"/>
      <c r="M525" s="89"/>
      <c r="N525" s="89"/>
      <c r="O525" s="484"/>
    </row>
    <row r="526" spans="2:15" ht="14.45" customHeight="1">
      <c r="B526" s="437">
        <f t="shared" si="18"/>
        <v>51</v>
      </c>
      <c r="C526" s="255" t="s">
        <v>189</v>
      </c>
      <c r="D526" s="438" t="s">
        <v>1023</v>
      </c>
      <c r="E526" s="438" t="s">
        <v>1024</v>
      </c>
      <c r="F526" s="89"/>
      <c r="G526" s="89"/>
      <c r="H526" s="89"/>
      <c r="I526" s="89"/>
      <c r="J526" s="484"/>
      <c r="K526" s="89"/>
      <c r="L526" s="89"/>
      <c r="M526" s="89"/>
      <c r="N526" s="89"/>
      <c r="O526" s="484"/>
    </row>
    <row r="527" spans="2:15" ht="14.45" customHeight="1">
      <c r="B527" s="437">
        <f t="shared" si="18"/>
        <v>52</v>
      </c>
      <c r="C527" s="255" t="s">
        <v>191</v>
      </c>
      <c r="D527" s="438" t="s">
        <v>1023</v>
      </c>
      <c r="E527" s="438" t="s">
        <v>1024</v>
      </c>
      <c r="F527" s="89"/>
      <c r="G527" s="89"/>
      <c r="H527" s="89"/>
      <c r="I527" s="89"/>
      <c r="J527" s="484"/>
      <c r="K527" s="89"/>
      <c r="L527" s="89"/>
      <c r="M527" s="89"/>
      <c r="N527" s="89"/>
      <c r="O527" s="484"/>
    </row>
    <row r="528" spans="2:15" ht="14.45" customHeight="1">
      <c r="B528" s="437">
        <f t="shared" si="18"/>
        <v>53</v>
      </c>
      <c r="C528" s="255" t="s">
        <v>167</v>
      </c>
      <c r="D528" s="438" t="s">
        <v>1023</v>
      </c>
      <c r="E528" s="438" t="s">
        <v>1024</v>
      </c>
      <c r="F528" s="89"/>
      <c r="G528" s="89"/>
      <c r="H528" s="89"/>
      <c r="I528" s="89"/>
      <c r="J528" s="484"/>
      <c r="K528" s="89"/>
      <c r="L528" s="89"/>
      <c r="M528" s="89"/>
      <c r="N528" s="89"/>
      <c r="O528" s="484"/>
    </row>
    <row r="529" spans="2:15" ht="14.45" customHeight="1">
      <c r="B529" s="437">
        <f t="shared" si="18"/>
        <v>54</v>
      </c>
      <c r="C529" s="423" t="s">
        <v>170</v>
      </c>
      <c r="D529" s="438" t="s">
        <v>1023</v>
      </c>
      <c r="E529" s="438" t="s">
        <v>1024</v>
      </c>
      <c r="F529" s="89"/>
      <c r="G529" s="89"/>
      <c r="H529" s="89"/>
      <c r="I529" s="89"/>
      <c r="J529" s="484"/>
      <c r="K529" s="89"/>
      <c r="L529" s="89"/>
      <c r="M529" s="89"/>
      <c r="N529" s="89"/>
      <c r="O529" s="484"/>
    </row>
    <row r="530" spans="2:15" ht="14.45" customHeight="1">
      <c r="B530" s="437">
        <f t="shared" si="18"/>
        <v>55</v>
      </c>
      <c r="C530" s="255" t="s">
        <v>174</v>
      </c>
      <c r="D530" s="438" t="s">
        <v>1023</v>
      </c>
      <c r="E530" s="438" t="s">
        <v>1024</v>
      </c>
      <c r="F530" s="89"/>
      <c r="G530" s="89"/>
      <c r="H530" s="89"/>
      <c r="I530" s="89"/>
      <c r="J530" s="484"/>
      <c r="K530" s="89"/>
      <c r="L530" s="89"/>
      <c r="M530" s="89"/>
      <c r="N530" s="89"/>
      <c r="O530" s="484"/>
    </row>
    <row r="531" spans="2:15" ht="14.45" customHeight="1">
      <c r="B531" s="437">
        <f t="shared" si="18"/>
        <v>56</v>
      </c>
      <c r="C531" s="255" t="s">
        <v>178</v>
      </c>
      <c r="D531" s="438" t="s">
        <v>1023</v>
      </c>
      <c r="E531" s="438" t="s">
        <v>1024</v>
      </c>
      <c r="F531" s="89"/>
      <c r="G531" s="89"/>
      <c r="H531" s="89"/>
      <c r="I531" s="89"/>
      <c r="J531" s="484"/>
      <c r="K531" s="89"/>
      <c r="L531" s="89"/>
      <c r="M531" s="89"/>
      <c r="N531" s="89"/>
      <c r="O531" s="484"/>
    </row>
    <row r="532" spans="2:15" ht="14.45" customHeight="1">
      <c r="B532" s="437">
        <f t="shared" si="18"/>
        <v>57</v>
      </c>
      <c r="C532" s="255" t="s">
        <v>181</v>
      </c>
      <c r="D532" s="438" t="s">
        <v>1023</v>
      </c>
      <c r="E532" s="438" t="s">
        <v>1024</v>
      </c>
      <c r="F532" s="89"/>
      <c r="G532" s="89"/>
      <c r="H532" s="89"/>
      <c r="I532" s="89"/>
      <c r="J532" s="484"/>
      <c r="K532" s="89"/>
      <c r="L532" s="89"/>
      <c r="M532" s="89"/>
      <c r="N532" s="89"/>
      <c r="O532" s="484"/>
    </row>
    <row r="533" spans="2:15" ht="14.45" customHeight="1">
      <c r="B533" s="437">
        <f t="shared" si="18"/>
        <v>58</v>
      </c>
      <c r="C533" s="255" t="s">
        <v>183</v>
      </c>
      <c r="D533" s="438" t="s">
        <v>1023</v>
      </c>
      <c r="E533" s="438" t="s">
        <v>1024</v>
      </c>
      <c r="F533" s="89"/>
      <c r="G533" s="89"/>
      <c r="H533" s="89"/>
      <c r="I533" s="89"/>
      <c r="J533" s="484"/>
      <c r="K533" s="89"/>
      <c r="L533" s="89"/>
      <c r="M533" s="89"/>
      <c r="N533" s="89"/>
      <c r="O533" s="484"/>
    </row>
    <row r="534" spans="2:15" ht="14.45" customHeight="1">
      <c r="B534" s="437">
        <f t="shared" si="18"/>
        <v>59</v>
      </c>
      <c r="C534" s="255" t="s">
        <v>185</v>
      </c>
      <c r="D534" s="438" t="s">
        <v>1023</v>
      </c>
      <c r="E534" s="438" t="s">
        <v>1024</v>
      </c>
      <c r="F534" s="89"/>
      <c r="G534" s="89"/>
      <c r="H534" s="89"/>
      <c r="I534" s="89"/>
      <c r="J534" s="484"/>
      <c r="K534" s="89"/>
      <c r="L534" s="89"/>
      <c r="M534" s="89"/>
      <c r="N534" s="89"/>
      <c r="O534" s="484"/>
    </row>
    <row r="535" spans="2:15" ht="14.45" customHeight="1">
      <c r="B535" s="437">
        <f t="shared" si="18"/>
        <v>60</v>
      </c>
      <c r="C535" s="255" t="s">
        <v>195</v>
      </c>
      <c r="D535" s="438" t="s">
        <v>1023</v>
      </c>
      <c r="E535" s="438" t="s">
        <v>1024</v>
      </c>
      <c r="F535" s="89"/>
      <c r="G535" s="89"/>
      <c r="H535" s="89"/>
      <c r="I535" s="89"/>
      <c r="J535" s="484"/>
      <c r="K535" s="89"/>
      <c r="L535" s="89"/>
      <c r="M535" s="89"/>
      <c r="N535" s="89"/>
      <c r="O535" s="484"/>
    </row>
    <row r="536" spans="2:15" ht="14.45" customHeight="1">
      <c r="B536" s="437">
        <f t="shared" si="18"/>
        <v>61</v>
      </c>
      <c r="C536" s="255" t="s">
        <v>197</v>
      </c>
      <c r="D536" s="438" t="s">
        <v>1023</v>
      </c>
      <c r="E536" s="438" t="s">
        <v>1024</v>
      </c>
      <c r="F536" s="89"/>
      <c r="G536" s="89"/>
      <c r="H536" s="89"/>
      <c r="I536" s="89"/>
      <c r="J536" s="484"/>
      <c r="K536" s="89"/>
      <c r="L536" s="89"/>
      <c r="M536" s="89"/>
      <c r="N536" s="89"/>
      <c r="O536" s="484"/>
    </row>
    <row r="537" spans="2:15" ht="14.45" customHeight="1">
      <c r="B537" s="437">
        <f t="shared" si="18"/>
        <v>62</v>
      </c>
      <c r="C537" s="255" t="s">
        <v>199</v>
      </c>
      <c r="D537" s="438" t="s">
        <v>1023</v>
      </c>
      <c r="E537" s="438" t="s">
        <v>1024</v>
      </c>
      <c r="F537" s="89"/>
      <c r="G537" s="89"/>
      <c r="H537" s="89"/>
      <c r="I537" s="89"/>
      <c r="J537" s="484"/>
      <c r="K537" s="89"/>
      <c r="L537" s="89"/>
      <c r="M537" s="89"/>
      <c r="N537" s="89"/>
      <c r="O537" s="484"/>
    </row>
    <row r="538" spans="2:15" ht="14.45" customHeight="1">
      <c r="B538" s="437">
        <f t="shared" si="18"/>
        <v>63</v>
      </c>
      <c r="C538" s="255" t="s">
        <v>201</v>
      </c>
      <c r="D538" s="438" t="s">
        <v>1023</v>
      </c>
      <c r="E538" s="438" t="s">
        <v>1024</v>
      </c>
      <c r="F538" s="89"/>
      <c r="G538" s="89"/>
      <c r="H538" s="89"/>
      <c r="I538" s="89"/>
      <c r="J538" s="484"/>
      <c r="K538" s="89"/>
      <c r="L538" s="89"/>
      <c r="M538" s="89"/>
      <c r="N538" s="89"/>
      <c r="O538" s="484"/>
    </row>
    <row r="539" spans="2:15" ht="14.45" customHeight="1">
      <c r="B539" s="437">
        <f t="shared" si="18"/>
        <v>64</v>
      </c>
      <c r="C539" s="255" t="s">
        <v>203</v>
      </c>
      <c r="D539" s="438" t="s">
        <v>1023</v>
      </c>
      <c r="E539" s="438" t="s">
        <v>1024</v>
      </c>
      <c r="F539" s="89"/>
      <c r="G539" s="89"/>
      <c r="H539" s="89"/>
      <c r="I539" s="89"/>
      <c r="J539" s="484"/>
      <c r="K539" s="89"/>
      <c r="L539" s="89"/>
      <c r="M539" s="89"/>
      <c r="N539" s="89"/>
      <c r="O539" s="484"/>
    </row>
    <row r="540" spans="2:15" ht="14.45" customHeight="1">
      <c r="B540" s="437">
        <f t="shared" si="18"/>
        <v>65</v>
      </c>
      <c r="C540" s="255" t="s">
        <v>205</v>
      </c>
      <c r="D540" s="438" t="s">
        <v>1023</v>
      </c>
      <c r="E540" s="438" t="s">
        <v>1024</v>
      </c>
      <c r="F540" s="89"/>
      <c r="G540" s="89"/>
      <c r="H540" s="89"/>
      <c r="I540" s="89"/>
      <c r="J540" s="484"/>
      <c r="K540" s="89"/>
      <c r="L540" s="89"/>
      <c r="M540" s="89"/>
      <c r="N540" s="89"/>
      <c r="O540" s="484"/>
    </row>
    <row r="541" spans="2:15" ht="14.45" customHeight="1">
      <c r="B541" s="437">
        <f t="shared" si="18"/>
        <v>66</v>
      </c>
      <c r="C541" s="255" t="s">
        <v>206</v>
      </c>
      <c r="D541" s="438" t="s">
        <v>1023</v>
      </c>
      <c r="E541" s="438" t="s">
        <v>1024</v>
      </c>
      <c r="F541" s="89"/>
      <c r="G541" s="89"/>
      <c r="H541" s="89"/>
      <c r="I541" s="89"/>
      <c r="J541" s="484"/>
      <c r="K541" s="89"/>
      <c r="L541" s="89"/>
      <c r="M541" s="89"/>
      <c r="N541" s="89"/>
      <c r="O541" s="484"/>
    </row>
    <row r="542" spans="2:15" ht="14.45" customHeight="1">
      <c r="B542" s="437">
        <f t="shared" ref="B542:B554" si="19">1+B541</f>
        <v>67</v>
      </c>
      <c r="C542" s="255" t="s">
        <v>207</v>
      </c>
      <c r="D542" s="438" t="s">
        <v>1023</v>
      </c>
      <c r="E542" s="438" t="s">
        <v>1024</v>
      </c>
      <c r="F542" s="89"/>
      <c r="G542" s="89"/>
      <c r="H542" s="89"/>
      <c r="I542" s="89"/>
      <c r="J542" s="484"/>
      <c r="K542" s="89"/>
      <c r="L542" s="89"/>
      <c r="M542" s="89"/>
      <c r="N542" s="89"/>
      <c r="O542" s="484"/>
    </row>
    <row r="543" spans="2:15" ht="14.45" customHeight="1">
      <c r="B543" s="437">
        <f t="shared" si="19"/>
        <v>68</v>
      </c>
      <c r="C543" s="423" t="s">
        <v>188</v>
      </c>
      <c r="D543" s="438" t="s">
        <v>1023</v>
      </c>
      <c r="E543" s="438" t="s">
        <v>1024</v>
      </c>
      <c r="F543" s="89"/>
      <c r="G543" s="89"/>
      <c r="H543" s="89"/>
      <c r="I543" s="89"/>
      <c r="J543" s="484"/>
      <c r="K543" s="89"/>
      <c r="L543" s="89"/>
      <c r="M543" s="89"/>
      <c r="N543" s="89"/>
      <c r="O543" s="484"/>
    </row>
    <row r="544" spans="2:15" ht="14.45" customHeight="1">
      <c r="B544" s="437">
        <f t="shared" si="19"/>
        <v>69</v>
      </c>
      <c r="C544" s="255" t="s">
        <v>190</v>
      </c>
      <c r="D544" s="438" t="s">
        <v>1023</v>
      </c>
      <c r="E544" s="438" t="s">
        <v>1024</v>
      </c>
      <c r="F544" s="89"/>
      <c r="G544" s="89"/>
      <c r="H544" s="89"/>
      <c r="I544" s="89"/>
      <c r="J544" s="484"/>
      <c r="K544" s="89"/>
      <c r="L544" s="89"/>
      <c r="M544" s="89"/>
      <c r="N544" s="89"/>
      <c r="O544" s="484"/>
    </row>
    <row r="545" spans="2:15" ht="14.45" customHeight="1">
      <c r="B545" s="437">
        <f t="shared" si="19"/>
        <v>70</v>
      </c>
      <c r="C545" s="255" t="s">
        <v>192</v>
      </c>
      <c r="D545" s="438" t="s">
        <v>1023</v>
      </c>
      <c r="E545" s="438" t="s">
        <v>1024</v>
      </c>
      <c r="F545" s="89"/>
      <c r="G545" s="89"/>
      <c r="H545" s="89"/>
      <c r="I545" s="89"/>
      <c r="J545" s="484"/>
      <c r="K545" s="89"/>
      <c r="L545" s="89"/>
      <c r="M545" s="89"/>
      <c r="N545" s="89"/>
      <c r="O545" s="484"/>
    </row>
    <row r="546" spans="2:15" ht="14.45" customHeight="1">
      <c r="B546" s="437">
        <f t="shared" si="19"/>
        <v>71</v>
      </c>
      <c r="C546" s="255" t="s">
        <v>193</v>
      </c>
      <c r="D546" s="438" t="s">
        <v>1023</v>
      </c>
      <c r="E546" s="438" t="s">
        <v>1024</v>
      </c>
      <c r="F546" s="89"/>
      <c r="G546" s="89"/>
      <c r="H546" s="89"/>
      <c r="I546" s="89"/>
      <c r="J546" s="484"/>
      <c r="K546" s="89"/>
      <c r="L546" s="89"/>
      <c r="M546" s="89"/>
      <c r="N546" s="89"/>
      <c r="O546" s="484"/>
    </row>
    <row r="547" spans="2:15" ht="14.45" customHeight="1">
      <c r="B547" s="437">
        <f t="shared" si="19"/>
        <v>72</v>
      </c>
      <c r="C547" s="255" t="s">
        <v>194</v>
      </c>
      <c r="D547" s="438" t="s">
        <v>1023</v>
      </c>
      <c r="E547" s="438" t="s">
        <v>1024</v>
      </c>
      <c r="F547" s="89"/>
      <c r="G547" s="89"/>
      <c r="H547" s="89"/>
      <c r="I547" s="89"/>
      <c r="J547" s="484"/>
      <c r="K547" s="89"/>
      <c r="L547" s="89"/>
      <c r="M547" s="89"/>
      <c r="N547" s="89"/>
      <c r="O547" s="484"/>
    </row>
    <row r="548" spans="2:15" ht="14.45" customHeight="1">
      <c r="B548" s="437">
        <f t="shared" si="19"/>
        <v>73</v>
      </c>
      <c r="C548" s="255" t="s">
        <v>196</v>
      </c>
      <c r="D548" s="438" t="s">
        <v>1023</v>
      </c>
      <c r="E548" s="438" t="s">
        <v>1024</v>
      </c>
      <c r="F548" s="89"/>
      <c r="G548" s="89"/>
      <c r="H548" s="89"/>
      <c r="I548" s="89"/>
      <c r="J548" s="484"/>
      <c r="K548" s="89"/>
      <c r="L548" s="89"/>
      <c r="M548" s="89"/>
      <c r="N548" s="89"/>
      <c r="O548" s="484"/>
    </row>
    <row r="549" spans="2:15" ht="14.45" customHeight="1">
      <c r="B549" s="437">
        <f t="shared" si="19"/>
        <v>74</v>
      </c>
      <c r="C549" s="255" t="s">
        <v>1025</v>
      </c>
      <c r="D549" s="438" t="s">
        <v>1023</v>
      </c>
      <c r="E549" s="438" t="s">
        <v>1024</v>
      </c>
      <c r="F549" s="89"/>
      <c r="G549" s="89"/>
      <c r="H549" s="89"/>
      <c r="I549" s="89"/>
      <c r="J549" s="484"/>
      <c r="K549" s="89"/>
      <c r="L549" s="89"/>
      <c r="M549" s="89"/>
      <c r="N549" s="89"/>
      <c r="O549" s="484"/>
    </row>
    <row r="550" spans="2:15" ht="14.45" customHeight="1">
      <c r="B550" s="437">
        <f t="shared" si="19"/>
        <v>75</v>
      </c>
      <c r="C550" s="255" t="s">
        <v>200</v>
      </c>
      <c r="D550" s="438" t="s">
        <v>1023</v>
      </c>
      <c r="E550" s="438" t="s">
        <v>1024</v>
      </c>
      <c r="F550" s="89"/>
      <c r="G550" s="89"/>
      <c r="H550" s="89"/>
      <c r="I550" s="89"/>
      <c r="J550" s="484"/>
      <c r="K550" s="89"/>
      <c r="L550" s="89"/>
      <c r="M550" s="89"/>
      <c r="N550" s="89"/>
      <c r="O550" s="484"/>
    </row>
    <row r="551" spans="2:15" ht="14.45" customHeight="1">
      <c r="B551" s="437">
        <f t="shared" si="19"/>
        <v>76</v>
      </c>
      <c r="C551" s="255" t="s">
        <v>202</v>
      </c>
      <c r="D551" s="438" t="s">
        <v>1023</v>
      </c>
      <c r="E551" s="438" t="s">
        <v>1024</v>
      </c>
      <c r="F551" s="89"/>
      <c r="G551" s="89"/>
      <c r="H551" s="89"/>
      <c r="I551" s="89"/>
      <c r="J551" s="484"/>
      <c r="K551" s="89"/>
      <c r="L551" s="89"/>
      <c r="M551" s="89"/>
      <c r="N551" s="89"/>
      <c r="O551" s="484"/>
    </row>
    <row r="552" spans="2:15" ht="14.45" customHeight="1">
      <c r="B552" s="437">
        <f t="shared" si="19"/>
        <v>77</v>
      </c>
      <c r="C552" s="255" t="s">
        <v>461</v>
      </c>
      <c r="D552" s="438" t="s">
        <v>1023</v>
      </c>
      <c r="E552" s="438" t="s">
        <v>1024</v>
      </c>
      <c r="F552" s="89"/>
      <c r="G552" s="89"/>
      <c r="H552" s="89"/>
      <c r="I552" s="89"/>
      <c r="J552" s="89"/>
      <c r="K552" s="89"/>
      <c r="L552" s="89"/>
      <c r="M552" s="89"/>
      <c r="N552" s="89"/>
      <c r="O552" s="89"/>
    </row>
    <row r="553" spans="2:15" ht="14.45" customHeight="1">
      <c r="B553" s="437">
        <f t="shared" si="19"/>
        <v>78</v>
      </c>
      <c r="C553" s="255" t="s">
        <v>461</v>
      </c>
      <c r="D553" s="438" t="s">
        <v>1023</v>
      </c>
      <c r="E553" s="438" t="s">
        <v>1024</v>
      </c>
      <c r="F553" s="89"/>
      <c r="G553" s="89"/>
      <c r="H553" s="89"/>
      <c r="I553" s="89"/>
      <c r="J553" s="89"/>
      <c r="K553" s="89"/>
      <c r="L553" s="89"/>
      <c r="M553" s="89"/>
      <c r="N553" s="89"/>
      <c r="O553" s="89"/>
    </row>
    <row r="554" spans="2:15" ht="14.25">
      <c r="B554" s="437">
        <f t="shared" si="19"/>
        <v>79</v>
      </c>
      <c r="C554" s="255" t="s">
        <v>461</v>
      </c>
      <c r="D554" s="438" t="s">
        <v>1023</v>
      </c>
      <c r="E554" s="438" t="s">
        <v>1024</v>
      </c>
      <c r="F554" s="89"/>
      <c r="G554" s="89"/>
      <c r="H554" s="89"/>
      <c r="I554" s="89"/>
      <c r="J554" s="89"/>
      <c r="K554" s="89"/>
      <c r="L554" s="89"/>
      <c r="M554" s="89"/>
      <c r="N554" s="89"/>
      <c r="O554" s="89"/>
    </row>
    <row r="555" spans="2:15" ht="12">
      <c r="B555" s="251"/>
      <c r="C555" s="251" t="s">
        <v>998</v>
      </c>
      <c r="D555" s="251"/>
      <c r="E555" s="251"/>
      <c r="F555" s="251"/>
      <c r="G555" s="251"/>
      <c r="H555" s="251"/>
      <c r="I555" s="251"/>
      <c r="J555" s="251"/>
      <c r="K555" s="251"/>
      <c r="L555" s="251"/>
      <c r="M555" s="251"/>
      <c r="N555" s="251"/>
      <c r="O555" s="251"/>
    </row>
    <row r="556" spans="2:15" ht="12">
      <c r="B556" s="251"/>
      <c r="C556" t="s">
        <v>805</v>
      </c>
      <c r="D556" s="251"/>
      <c r="E556" s="251"/>
      <c r="F556" s="251"/>
      <c r="G556" s="251"/>
      <c r="H556" s="251"/>
      <c r="I556" s="251"/>
      <c r="J556" s="251"/>
      <c r="K556" s="251"/>
      <c r="L556" s="251"/>
      <c r="M556" s="251"/>
      <c r="N556" s="251"/>
      <c r="O556" s="251"/>
    </row>
    <row r="557" spans="2:15" ht="12">
      <c r="B557" s="251"/>
      <c r="C557" s="251"/>
      <c r="D557" s="251"/>
      <c r="E557" s="251"/>
      <c r="F557" s="251"/>
      <c r="G557" s="251"/>
      <c r="H557" s="251"/>
      <c r="I557" s="251"/>
      <c r="J557" s="251"/>
      <c r="K557" s="251"/>
    </row>
    <row r="558" spans="2:15" ht="15.75">
      <c r="B558" s="251"/>
      <c r="C558" s="9" t="s">
        <v>1026</v>
      </c>
      <c r="D558" s="251"/>
      <c r="E558" s="251"/>
      <c r="F558" s="251"/>
      <c r="G558" s="251"/>
      <c r="H558" s="251"/>
      <c r="I558" s="251"/>
      <c r="J558" s="251"/>
      <c r="K558" s="251"/>
      <c r="L558" s="251"/>
    </row>
    <row r="559" spans="2:15" ht="12">
      <c r="B559" s="251"/>
      <c r="C559" s="266" t="s">
        <v>810</v>
      </c>
      <c r="G559" s="251"/>
      <c r="H559" s="251"/>
      <c r="I559" s="251"/>
      <c r="J559" s="251"/>
      <c r="K559" s="251"/>
      <c r="L559" s="251"/>
    </row>
    <row r="560" spans="2:15" ht="12">
      <c r="B560" s="251"/>
      <c r="C560" s="266" t="s">
        <v>1027</v>
      </c>
      <c r="G560" s="251"/>
      <c r="H560" s="251"/>
      <c r="I560" s="251"/>
      <c r="J560" s="251"/>
      <c r="K560" s="251"/>
      <c r="L560" s="251"/>
    </row>
    <row r="561" spans="2:12" ht="12">
      <c r="B561" s="251"/>
      <c r="C561" s="478" t="s">
        <v>1028</v>
      </c>
      <c r="D561" s="98"/>
      <c r="E561" s="98"/>
      <c r="F561" s="478"/>
      <c r="G561" s="251"/>
      <c r="H561" s="251"/>
      <c r="I561" s="251"/>
      <c r="J561" s="251"/>
      <c r="K561" s="251"/>
      <c r="L561" s="251"/>
    </row>
    <row r="562" spans="2:12" ht="12">
      <c r="B562" s="251"/>
      <c r="C562" s="266"/>
      <c r="G562" s="251"/>
      <c r="H562" s="251"/>
      <c r="K562" s="251"/>
      <c r="L562" s="251"/>
    </row>
    <row r="563" spans="2:12" ht="12">
      <c r="B563" s="251"/>
      <c r="C563" s="430" t="s">
        <v>461</v>
      </c>
      <c r="D563" s="430" t="s">
        <v>462</v>
      </c>
      <c r="E563" s="430" t="s">
        <v>463</v>
      </c>
      <c r="F563" s="485">
        <v>2023</v>
      </c>
      <c r="G563" s="485">
        <v>2024</v>
      </c>
      <c r="H563" s="430" t="s">
        <v>498</v>
      </c>
    </row>
    <row r="564" spans="2:12" ht="14.25">
      <c r="B564" s="437">
        <v>1</v>
      </c>
      <c r="C564" s="255" t="s">
        <v>168</v>
      </c>
      <c r="D564" s="438" t="s">
        <v>359</v>
      </c>
      <c r="E564" s="438" t="s">
        <v>334</v>
      </c>
      <c r="F564" s="512">
        <v>1191178</v>
      </c>
      <c r="G564" s="512">
        <v>1282881</v>
      </c>
      <c r="H564" s="89"/>
      <c r="I564" s="107"/>
      <c r="J564" s="107"/>
    </row>
    <row r="565" spans="2:12" ht="14.25">
      <c r="B565" s="437">
        <f>1+B564</f>
        <v>2</v>
      </c>
      <c r="C565" s="255" t="s">
        <v>165</v>
      </c>
      <c r="D565" s="438" t="s">
        <v>358</v>
      </c>
      <c r="E565" s="438" t="s">
        <v>334</v>
      </c>
      <c r="F565" s="512">
        <v>540741</v>
      </c>
      <c r="G565" s="512">
        <v>543952</v>
      </c>
      <c r="H565" s="89"/>
      <c r="I565" s="107"/>
      <c r="J565" s="107"/>
    </row>
    <row r="566" spans="2:12" ht="14.25">
      <c r="B566" s="437">
        <f t="shared" ref="B566:B629" si="20">1+B565</f>
        <v>3</v>
      </c>
      <c r="C566" s="255" t="s">
        <v>824</v>
      </c>
      <c r="D566" s="438" t="s">
        <v>358</v>
      </c>
      <c r="E566" s="438" t="s">
        <v>334</v>
      </c>
      <c r="F566" s="512">
        <v>55</v>
      </c>
      <c r="G566" s="512">
        <v>61</v>
      </c>
      <c r="H566" s="89"/>
    </row>
    <row r="567" spans="2:12" ht="14.25">
      <c r="B567" s="437">
        <f t="shared" si="20"/>
        <v>4</v>
      </c>
      <c r="C567" s="255" t="s">
        <v>826</v>
      </c>
      <c r="D567" s="438" t="s">
        <v>358</v>
      </c>
      <c r="E567" s="438" t="s">
        <v>334</v>
      </c>
      <c r="F567" s="512">
        <v>545</v>
      </c>
      <c r="G567" s="512">
        <v>633</v>
      </c>
      <c r="H567" s="89"/>
    </row>
    <row r="568" spans="2:12" ht="14.25">
      <c r="B568" s="437">
        <f t="shared" si="20"/>
        <v>5</v>
      </c>
      <c r="C568" s="255" t="s">
        <v>827</v>
      </c>
      <c r="D568" s="438" t="s">
        <v>358</v>
      </c>
      <c r="E568" s="438" t="s">
        <v>334</v>
      </c>
      <c r="F568" s="512">
        <v>878</v>
      </c>
      <c r="G568" s="512">
        <v>941</v>
      </c>
      <c r="H568" s="89"/>
    </row>
    <row r="569" spans="2:12" ht="14.25">
      <c r="B569" s="437">
        <f t="shared" si="20"/>
        <v>6</v>
      </c>
      <c r="C569" s="255" t="s">
        <v>836</v>
      </c>
      <c r="D569" s="438" t="s">
        <v>358</v>
      </c>
      <c r="E569" s="438" t="s">
        <v>334</v>
      </c>
      <c r="F569" s="512">
        <v>556</v>
      </c>
      <c r="G569" s="512">
        <v>715</v>
      </c>
      <c r="H569" s="89"/>
    </row>
    <row r="570" spans="2:12" ht="14.25">
      <c r="B570" s="437">
        <f t="shared" si="20"/>
        <v>7</v>
      </c>
      <c r="C570" s="255" t="s">
        <v>837</v>
      </c>
      <c r="D570" s="438" t="s">
        <v>358</v>
      </c>
      <c r="E570" s="438" t="s">
        <v>334</v>
      </c>
      <c r="F570" s="512">
        <v>19</v>
      </c>
      <c r="G570" s="512">
        <v>17</v>
      </c>
      <c r="H570" s="89"/>
    </row>
    <row r="571" spans="2:12" ht="14.25">
      <c r="B571" s="437">
        <f t="shared" si="20"/>
        <v>8</v>
      </c>
      <c r="C571" s="255" t="s">
        <v>838</v>
      </c>
      <c r="D571" s="438" t="s">
        <v>358</v>
      </c>
      <c r="E571" s="438" t="s">
        <v>334</v>
      </c>
      <c r="F571" s="512">
        <v>15</v>
      </c>
      <c r="G571" s="512">
        <v>14</v>
      </c>
      <c r="H571" s="89"/>
    </row>
    <row r="572" spans="2:12" ht="14.25">
      <c r="B572" s="437">
        <f t="shared" si="20"/>
        <v>9</v>
      </c>
      <c r="C572" s="255" t="s">
        <v>839</v>
      </c>
      <c r="D572" s="438" t="s">
        <v>359</v>
      </c>
      <c r="E572" s="438" t="s">
        <v>334</v>
      </c>
      <c r="F572" s="512">
        <v>52</v>
      </c>
      <c r="G572" s="512">
        <v>58</v>
      </c>
      <c r="H572" s="89"/>
    </row>
    <row r="573" spans="2:12" ht="14.65" customHeight="1">
      <c r="B573" s="437">
        <f t="shared" si="20"/>
        <v>10</v>
      </c>
      <c r="C573" s="255" t="s">
        <v>841</v>
      </c>
      <c r="D573" s="438" t="s">
        <v>358</v>
      </c>
      <c r="E573" s="438" t="s">
        <v>334</v>
      </c>
      <c r="F573" s="512">
        <v>1418</v>
      </c>
      <c r="G573" s="512">
        <v>1819</v>
      </c>
      <c r="H573" s="89"/>
    </row>
    <row r="574" spans="2:12" ht="14.65" customHeight="1">
      <c r="B574" s="437">
        <f t="shared" si="20"/>
        <v>11</v>
      </c>
      <c r="C574" s="255" t="s">
        <v>842</v>
      </c>
      <c r="D574" s="438" t="s">
        <v>358</v>
      </c>
      <c r="E574" s="438" t="s">
        <v>334</v>
      </c>
      <c r="F574" s="512">
        <v>822</v>
      </c>
      <c r="G574" s="512">
        <v>1097</v>
      </c>
      <c r="H574" s="89"/>
    </row>
    <row r="575" spans="2:12" ht="14.65" customHeight="1">
      <c r="B575" s="437">
        <f t="shared" si="20"/>
        <v>12</v>
      </c>
      <c r="C575" s="255" t="s">
        <v>843</v>
      </c>
      <c r="D575" s="438" t="s">
        <v>358</v>
      </c>
      <c r="E575" s="438" t="s">
        <v>334</v>
      </c>
      <c r="F575" s="512">
        <v>576</v>
      </c>
      <c r="G575" s="512">
        <v>611</v>
      </c>
      <c r="H575" s="89"/>
    </row>
    <row r="576" spans="2:12" ht="14.65" customHeight="1">
      <c r="B576" s="437">
        <f t="shared" si="20"/>
        <v>13</v>
      </c>
      <c r="C576" s="255" t="s">
        <v>844</v>
      </c>
      <c r="D576" s="438" t="s">
        <v>359</v>
      </c>
      <c r="E576" s="438" t="s">
        <v>334</v>
      </c>
      <c r="F576" s="512">
        <v>7423</v>
      </c>
      <c r="G576" s="512">
        <v>5250</v>
      </c>
      <c r="H576" s="89"/>
    </row>
    <row r="577" spans="2:8" ht="14.65" customHeight="1">
      <c r="B577" s="437">
        <f t="shared" si="20"/>
        <v>14</v>
      </c>
      <c r="C577" s="255" t="s">
        <v>721</v>
      </c>
      <c r="D577" s="438" t="s">
        <v>359</v>
      </c>
      <c r="E577" s="438" t="s">
        <v>334</v>
      </c>
      <c r="F577" s="512">
        <v>1220</v>
      </c>
      <c r="G577" s="512">
        <v>1046</v>
      </c>
      <c r="H577" s="89"/>
    </row>
    <row r="578" spans="2:8" ht="14.65" customHeight="1">
      <c r="B578" s="437">
        <f t="shared" si="20"/>
        <v>15</v>
      </c>
      <c r="C578" s="255" t="s">
        <v>722</v>
      </c>
      <c r="D578" s="438" t="s">
        <v>359</v>
      </c>
      <c r="E578" s="438" t="s">
        <v>334</v>
      </c>
      <c r="F578" s="512">
        <v>2016</v>
      </c>
      <c r="G578" s="512">
        <v>1128</v>
      </c>
      <c r="H578" s="89"/>
    </row>
    <row r="579" spans="2:8" ht="14.65" customHeight="1">
      <c r="B579" s="437">
        <f t="shared" si="20"/>
        <v>16</v>
      </c>
      <c r="C579" s="255" t="s">
        <v>846</v>
      </c>
      <c r="D579" s="438" t="s">
        <v>358</v>
      </c>
      <c r="E579" s="438" t="s">
        <v>334</v>
      </c>
      <c r="F579" s="512">
        <v>1696</v>
      </c>
      <c r="G579" s="512">
        <v>1278</v>
      </c>
      <c r="H579" s="89"/>
    </row>
    <row r="580" spans="2:8" ht="14.65" customHeight="1">
      <c r="B580" s="437">
        <f t="shared" si="20"/>
        <v>17</v>
      </c>
      <c r="C580" s="255" t="s">
        <v>848</v>
      </c>
      <c r="D580" s="438" t="s">
        <v>358</v>
      </c>
      <c r="E580" s="438" t="s">
        <v>334</v>
      </c>
      <c r="F580" s="512">
        <v>109</v>
      </c>
      <c r="G580" s="512">
        <v>89</v>
      </c>
      <c r="H580" s="89"/>
    </row>
    <row r="581" spans="2:8" ht="14.65" customHeight="1">
      <c r="B581" s="437">
        <f t="shared" si="20"/>
        <v>18</v>
      </c>
      <c r="C581" s="255" t="s">
        <v>849</v>
      </c>
      <c r="D581" s="438" t="s">
        <v>358</v>
      </c>
      <c r="E581" s="438" t="s">
        <v>334</v>
      </c>
      <c r="F581" s="512">
        <v>41</v>
      </c>
      <c r="G581" s="512">
        <v>48</v>
      </c>
      <c r="H581" s="89"/>
    </row>
    <row r="582" spans="2:8" ht="14.65" customHeight="1">
      <c r="B582" s="437">
        <f t="shared" si="20"/>
        <v>19</v>
      </c>
      <c r="C582" s="255" t="s">
        <v>719</v>
      </c>
      <c r="D582" s="438" t="s">
        <v>359</v>
      </c>
      <c r="E582" s="438" t="s">
        <v>334</v>
      </c>
      <c r="F582" s="512">
        <v>1811</v>
      </c>
      <c r="G582" s="512">
        <v>1389</v>
      </c>
      <c r="H582" s="89"/>
    </row>
    <row r="583" spans="2:8" ht="14.65" customHeight="1">
      <c r="B583" s="437">
        <f t="shared" si="20"/>
        <v>20</v>
      </c>
      <c r="C583" s="255" t="s">
        <v>720</v>
      </c>
      <c r="D583" s="438" t="s">
        <v>359</v>
      </c>
      <c r="E583" s="438" t="s">
        <v>334</v>
      </c>
      <c r="F583" s="512">
        <v>429</v>
      </c>
      <c r="G583" s="512">
        <v>491</v>
      </c>
      <c r="H583" s="89"/>
    </row>
    <row r="584" spans="2:8" ht="14.65" customHeight="1">
      <c r="B584" s="437">
        <f t="shared" si="20"/>
        <v>21</v>
      </c>
      <c r="C584" s="255" t="s">
        <v>718</v>
      </c>
      <c r="D584" s="438" t="s">
        <v>359</v>
      </c>
      <c r="E584" s="438" t="s">
        <v>334</v>
      </c>
      <c r="F584" s="512">
        <v>1692</v>
      </c>
      <c r="G584" s="512">
        <v>1102</v>
      </c>
      <c r="H584" s="89"/>
    </row>
    <row r="585" spans="2:8" ht="14.65" customHeight="1">
      <c r="B585" s="437">
        <f t="shared" si="20"/>
        <v>22</v>
      </c>
      <c r="C585" s="255" t="s">
        <v>850</v>
      </c>
      <c r="D585" s="438" t="s">
        <v>816</v>
      </c>
      <c r="E585" s="438" t="s">
        <v>334</v>
      </c>
      <c r="F585" s="512">
        <v>0</v>
      </c>
      <c r="G585" s="512">
        <v>0</v>
      </c>
      <c r="H585" s="89"/>
    </row>
    <row r="586" spans="2:8" ht="14.65" customHeight="1">
      <c r="B586" s="437">
        <f t="shared" si="20"/>
        <v>23</v>
      </c>
      <c r="C586" s="255" t="s">
        <v>854</v>
      </c>
      <c r="D586" s="438" t="s">
        <v>359</v>
      </c>
      <c r="E586" s="438" t="s">
        <v>334</v>
      </c>
      <c r="F586" s="512">
        <v>275</v>
      </c>
      <c r="G586" s="512">
        <v>354</v>
      </c>
      <c r="H586" s="89"/>
    </row>
    <row r="587" spans="2:8" ht="14.65" customHeight="1">
      <c r="B587" s="437">
        <f t="shared" si="20"/>
        <v>24</v>
      </c>
      <c r="C587" s="255" t="s">
        <v>746</v>
      </c>
      <c r="D587" s="438" t="s">
        <v>816</v>
      </c>
      <c r="E587" s="438" t="s">
        <v>798</v>
      </c>
      <c r="F587" s="512">
        <v>123</v>
      </c>
      <c r="G587" s="512">
        <v>64</v>
      </c>
      <c r="H587" s="89"/>
    </row>
    <row r="588" spans="2:8" ht="14.65" customHeight="1">
      <c r="B588" s="437">
        <f t="shared" si="20"/>
        <v>25</v>
      </c>
      <c r="C588" s="255" t="s">
        <v>747</v>
      </c>
      <c r="D588" s="438" t="s">
        <v>816</v>
      </c>
      <c r="E588" s="438" t="s">
        <v>798</v>
      </c>
      <c r="F588" s="512">
        <v>4</v>
      </c>
      <c r="G588" s="512">
        <v>6</v>
      </c>
      <c r="H588" s="89"/>
    </row>
    <row r="589" spans="2:8" ht="14.65" customHeight="1">
      <c r="B589" s="437">
        <f t="shared" si="20"/>
        <v>26</v>
      </c>
      <c r="C589" s="255" t="s">
        <v>748</v>
      </c>
      <c r="D589" s="438" t="s">
        <v>816</v>
      </c>
      <c r="E589" s="438" t="s">
        <v>798</v>
      </c>
      <c r="F589" s="512">
        <v>9</v>
      </c>
      <c r="G589" s="512">
        <v>6</v>
      </c>
      <c r="H589" s="89"/>
    </row>
    <row r="590" spans="2:8" ht="14.65" customHeight="1">
      <c r="B590" s="437">
        <f t="shared" si="20"/>
        <v>27</v>
      </c>
      <c r="C590" s="255" t="s">
        <v>749</v>
      </c>
      <c r="D590" s="438" t="s">
        <v>816</v>
      </c>
      <c r="E590" s="438" t="s">
        <v>798</v>
      </c>
      <c r="F590" s="512">
        <v>41</v>
      </c>
      <c r="G590" s="512">
        <v>19</v>
      </c>
      <c r="H590" s="89"/>
    </row>
    <row r="591" spans="2:8" ht="14.65" customHeight="1">
      <c r="B591" s="437">
        <f t="shared" si="20"/>
        <v>28</v>
      </c>
      <c r="C591" s="255" t="s">
        <v>750</v>
      </c>
      <c r="D591" s="438" t="s">
        <v>816</v>
      </c>
      <c r="E591" s="438" t="s">
        <v>798</v>
      </c>
      <c r="F591" s="512">
        <v>5</v>
      </c>
      <c r="G591" s="512">
        <v>0</v>
      </c>
      <c r="H591" s="89"/>
    </row>
    <row r="592" spans="2:8" ht="14.65" customHeight="1">
      <c r="B592" s="437">
        <f t="shared" si="20"/>
        <v>29</v>
      </c>
      <c r="C592" s="255" t="s">
        <v>751</v>
      </c>
      <c r="D592" s="438" t="s">
        <v>816</v>
      </c>
      <c r="E592" s="438" t="s">
        <v>798</v>
      </c>
      <c r="F592" s="512">
        <v>2</v>
      </c>
      <c r="G592" s="512">
        <v>1</v>
      </c>
      <c r="H592" s="89"/>
    </row>
    <row r="593" spans="2:8" ht="14.65" customHeight="1">
      <c r="B593" s="437">
        <f t="shared" si="20"/>
        <v>30</v>
      </c>
      <c r="C593" s="255" t="s">
        <v>752</v>
      </c>
      <c r="D593" s="438" t="s">
        <v>816</v>
      </c>
      <c r="E593" s="438" t="s">
        <v>798</v>
      </c>
      <c r="F593" s="512">
        <v>146</v>
      </c>
      <c r="G593" s="512">
        <v>62</v>
      </c>
      <c r="H593" s="89"/>
    </row>
    <row r="594" spans="2:8" ht="14.65" customHeight="1">
      <c r="B594" s="437">
        <f t="shared" si="20"/>
        <v>31</v>
      </c>
      <c r="C594" s="255" t="s">
        <v>753</v>
      </c>
      <c r="D594" s="438" t="s">
        <v>816</v>
      </c>
      <c r="E594" s="438" t="s">
        <v>798</v>
      </c>
      <c r="F594" s="512">
        <v>10</v>
      </c>
      <c r="G594" s="512">
        <v>3</v>
      </c>
      <c r="H594" s="89"/>
    </row>
    <row r="595" spans="2:8" ht="14.65" customHeight="1">
      <c r="B595" s="437">
        <f t="shared" si="20"/>
        <v>32</v>
      </c>
      <c r="C595" s="255" t="s">
        <v>754</v>
      </c>
      <c r="D595" s="438" t="s">
        <v>816</v>
      </c>
      <c r="E595" s="438" t="s">
        <v>798</v>
      </c>
      <c r="F595" s="512">
        <v>3</v>
      </c>
      <c r="G595" s="512">
        <v>3</v>
      </c>
      <c r="H595" s="89"/>
    </row>
    <row r="596" spans="2:8" ht="14.65" customHeight="1">
      <c r="B596" s="437">
        <f t="shared" si="20"/>
        <v>33</v>
      </c>
      <c r="C596" s="255" t="s">
        <v>859</v>
      </c>
      <c r="D596" s="438" t="s">
        <v>358</v>
      </c>
      <c r="E596" s="438" t="s">
        <v>798</v>
      </c>
      <c r="F596" s="512">
        <v>12</v>
      </c>
      <c r="G596" s="512">
        <v>18</v>
      </c>
      <c r="H596" s="89"/>
    </row>
    <row r="597" spans="2:8" ht="14.65" customHeight="1">
      <c r="B597" s="437">
        <f t="shared" si="20"/>
        <v>34</v>
      </c>
      <c r="C597" s="255" t="s">
        <v>861</v>
      </c>
      <c r="D597" s="438" t="s">
        <v>358</v>
      </c>
      <c r="E597" s="438" t="s">
        <v>798</v>
      </c>
      <c r="F597" s="512">
        <v>0</v>
      </c>
      <c r="G597" s="512">
        <v>0</v>
      </c>
      <c r="H597" s="89"/>
    </row>
    <row r="598" spans="2:8" ht="14.65" customHeight="1">
      <c r="B598" s="437">
        <f t="shared" si="20"/>
        <v>35</v>
      </c>
      <c r="C598" s="255" t="s">
        <v>862</v>
      </c>
      <c r="D598" s="438" t="s">
        <v>358</v>
      </c>
      <c r="E598" s="438" t="s">
        <v>798</v>
      </c>
      <c r="F598" s="512">
        <v>0</v>
      </c>
      <c r="G598" s="512">
        <v>0</v>
      </c>
      <c r="H598" s="89"/>
    </row>
    <row r="599" spans="2:8" ht="14.65" customHeight="1">
      <c r="B599" s="437">
        <f t="shared" si="20"/>
        <v>36</v>
      </c>
      <c r="C599" s="255" t="s">
        <v>863</v>
      </c>
      <c r="D599" s="438" t="s">
        <v>358</v>
      </c>
      <c r="E599" s="438" t="s">
        <v>798</v>
      </c>
      <c r="F599" s="512">
        <v>0</v>
      </c>
      <c r="G599" s="512">
        <v>0</v>
      </c>
      <c r="H599" s="89"/>
    </row>
    <row r="600" spans="2:8" ht="14.65" customHeight="1">
      <c r="B600" s="437">
        <f t="shared" si="20"/>
        <v>37</v>
      </c>
      <c r="C600" s="255" t="s">
        <v>864</v>
      </c>
      <c r="D600" s="438" t="s">
        <v>358</v>
      </c>
      <c r="E600" s="438" t="s">
        <v>798</v>
      </c>
      <c r="F600" s="512">
        <v>1</v>
      </c>
      <c r="G600" s="512">
        <v>2</v>
      </c>
      <c r="H600" s="89"/>
    </row>
    <row r="601" spans="2:8" ht="14.65" customHeight="1">
      <c r="B601" s="437">
        <f t="shared" si="20"/>
        <v>38</v>
      </c>
      <c r="C601" s="255" t="s">
        <v>865</v>
      </c>
      <c r="D601" s="438" t="s">
        <v>358</v>
      </c>
      <c r="E601" s="438" t="s">
        <v>798</v>
      </c>
      <c r="F601" s="512">
        <v>0</v>
      </c>
      <c r="G601" s="512">
        <v>1</v>
      </c>
      <c r="H601" s="89"/>
    </row>
    <row r="602" spans="2:8" ht="14.65" customHeight="1">
      <c r="B602" s="437">
        <f t="shared" si="20"/>
        <v>39</v>
      </c>
      <c r="C602" s="255" t="s">
        <v>866</v>
      </c>
      <c r="D602" s="438" t="s">
        <v>358</v>
      </c>
      <c r="E602" s="438" t="s">
        <v>798</v>
      </c>
      <c r="F602" s="512">
        <v>22</v>
      </c>
      <c r="G602" s="512">
        <v>10</v>
      </c>
      <c r="H602" s="89"/>
    </row>
    <row r="603" spans="2:8" ht="14.65" customHeight="1">
      <c r="B603" s="437">
        <f t="shared" si="20"/>
        <v>40</v>
      </c>
      <c r="C603" s="255" t="s">
        <v>868</v>
      </c>
      <c r="D603" s="438" t="s">
        <v>358</v>
      </c>
      <c r="E603" s="438" t="s">
        <v>798</v>
      </c>
      <c r="F603" s="512">
        <v>0</v>
      </c>
      <c r="G603" s="512">
        <v>0</v>
      </c>
      <c r="H603" s="89"/>
    </row>
    <row r="604" spans="2:8" ht="14.65" customHeight="1">
      <c r="B604" s="437">
        <f t="shared" si="20"/>
        <v>41</v>
      </c>
      <c r="C604" s="255" t="s">
        <v>869</v>
      </c>
      <c r="D604" s="438" t="s">
        <v>358</v>
      </c>
      <c r="E604" s="438" t="s">
        <v>798</v>
      </c>
      <c r="F604" s="512">
        <v>5</v>
      </c>
      <c r="G604" s="512">
        <v>0</v>
      </c>
      <c r="H604" s="89"/>
    </row>
    <row r="605" spans="2:8" ht="14.65" hidden="1" customHeight="1">
      <c r="B605" s="437">
        <f t="shared" si="20"/>
        <v>42</v>
      </c>
      <c r="C605" s="255"/>
      <c r="D605" s="438"/>
      <c r="E605" s="438"/>
      <c r="F605" s="89"/>
      <c r="G605" s="89"/>
      <c r="H605" s="89"/>
    </row>
    <row r="606" spans="2:8" ht="14.65" hidden="1" customHeight="1">
      <c r="B606" s="437">
        <f t="shared" si="20"/>
        <v>43</v>
      </c>
      <c r="C606" s="255"/>
      <c r="D606" s="438"/>
      <c r="E606" s="438"/>
      <c r="F606" s="89"/>
      <c r="G606" s="89"/>
      <c r="H606" s="89"/>
    </row>
    <row r="607" spans="2:8" ht="14.65" hidden="1" customHeight="1">
      <c r="B607" s="437">
        <f t="shared" si="20"/>
        <v>44</v>
      </c>
      <c r="C607" s="255"/>
      <c r="D607" s="438"/>
      <c r="E607" s="438"/>
      <c r="F607" s="89"/>
      <c r="G607" s="89"/>
      <c r="H607" s="89"/>
    </row>
    <row r="608" spans="2:8" ht="14.65" hidden="1" customHeight="1">
      <c r="B608" s="437">
        <f t="shared" si="20"/>
        <v>45</v>
      </c>
      <c r="C608" s="255"/>
      <c r="D608" s="438"/>
      <c r="E608" s="438"/>
      <c r="F608" s="89"/>
      <c r="G608" s="89"/>
      <c r="H608" s="89"/>
    </row>
    <row r="609" spans="2:8" ht="14.65" hidden="1" customHeight="1">
      <c r="B609" s="437">
        <f t="shared" si="20"/>
        <v>46</v>
      </c>
      <c r="C609" s="255"/>
      <c r="D609" s="438"/>
      <c r="E609" s="438"/>
      <c r="F609" s="89"/>
      <c r="G609" s="89"/>
      <c r="H609" s="89"/>
    </row>
    <row r="610" spans="2:8" ht="14.65" hidden="1" customHeight="1">
      <c r="B610" s="437">
        <f t="shared" si="20"/>
        <v>47</v>
      </c>
      <c r="C610" s="255"/>
      <c r="D610" s="438"/>
      <c r="E610" s="438"/>
      <c r="F610" s="89"/>
      <c r="G610" s="89"/>
      <c r="H610" s="89"/>
    </row>
    <row r="611" spans="2:8" ht="14.65" hidden="1" customHeight="1">
      <c r="B611" s="437">
        <f t="shared" si="20"/>
        <v>48</v>
      </c>
      <c r="C611" s="255"/>
      <c r="D611" s="438"/>
      <c r="E611" s="438"/>
      <c r="F611" s="89"/>
      <c r="G611" s="89"/>
      <c r="H611" s="89"/>
    </row>
    <row r="612" spans="2:8" ht="14.65" hidden="1" customHeight="1">
      <c r="B612" s="437">
        <f t="shared" si="20"/>
        <v>49</v>
      </c>
      <c r="C612" s="255"/>
      <c r="D612" s="438"/>
      <c r="E612" s="438"/>
      <c r="F612" s="89"/>
      <c r="G612" s="89"/>
      <c r="H612" s="89"/>
    </row>
    <row r="613" spans="2:8" ht="14.65" hidden="1" customHeight="1">
      <c r="B613" s="437">
        <f t="shared" si="20"/>
        <v>50</v>
      </c>
      <c r="C613" s="255"/>
      <c r="D613" s="438"/>
      <c r="E613" s="438"/>
      <c r="F613" s="89"/>
      <c r="G613" s="89"/>
      <c r="H613" s="89"/>
    </row>
    <row r="614" spans="2:8" ht="14.65" hidden="1" customHeight="1">
      <c r="B614" s="437">
        <f t="shared" si="20"/>
        <v>51</v>
      </c>
      <c r="C614" s="255"/>
      <c r="D614" s="438"/>
      <c r="E614" s="438"/>
      <c r="F614" s="89"/>
      <c r="G614" s="89"/>
      <c r="H614" s="89"/>
    </row>
    <row r="615" spans="2:8" ht="14.65" hidden="1" customHeight="1">
      <c r="B615" s="437">
        <f t="shared" si="20"/>
        <v>52</v>
      </c>
      <c r="C615" s="255"/>
      <c r="D615" s="438"/>
      <c r="E615" s="438"/>
      <c r="F615" s="89"/>
      <c r="G615" s="89"/>
      <c r="H615" s="89"/>
    </row>
    <row r="616" spans="2:8" ht="14.65" hidden="1" customHeight="1">
      <c r="B616" s="437">
        <f t="shared" si="20"/>
        <v>53</v>
      </c>
      <c r="C616" s="255"/>
      <c r="D616" s="438"/>
      <c r="E616" s="438"/>
      <c r="F616" s="89"/>
      <c r="G616" s="89"/>
      <c r="H616" s="89"/>
    </row>
    <row r="617" spans="2:8" ht="14.65" hidden="1" customHeight="1">
      <c r="B617" s="437">
        <f t="shared" si="20"/>
        <v>54</v>
      </c>
      <c r="C617" s="255"/>
      <c r="D617" s="438"/>
      <c r="E617" s="438"/>
      <c r="F617" s="89"/>
      <c r="G617" s="89"/>
      <c r="H617" s="89"/>
    </row>
    <row r="618" spans="2:8" ht="14.65" hidden="1" customHeight="1">
      <c r="B618" s="437">
        <f t="shared" si="20"/>
        <v>55</v>
      </c>
      <c r="C618" s="255"/>
      <c r="D618" s="438"/>
      <c r="E618" s="438"/>
      <c r="F618" s="89"/>
      <c r="G618" s="89"/>
      <c r="H618" s="89"/>
    </row>
    <row r="619" spans="2:8" ht="14.65" hidden="1" customHeight="1">
      <c r="B619" s="437">
        <f t="shared" si="20"/>
        <v>56</v>
      </c>
      <c r="C619" s="255"/>
      <c r="D619" s="438"/>
      <c r="E619" s="438"/>
      <c r="F619" s="89"/>
      <c r="G619" s="89"/>
      <c r="H619" s="89"/>
    </row>
    <row r="620" spans="2:8" ht="14.65" hidden="1" customHeight="1">
      <c r="B620" s="437">
        <f t="shared" si="20"/>
        <v>57</v>
      </c>
      <c r="C620" s="255"/>
      <c r="D620" s="438"/>
      <c r="E620" s="438"/>
      <c r="F620" s="89"/>
      <c r="G620" s="89"/>
      <c r="H620" s="89"/>
    </row>
    <row r="621" spans="2:8" ht="14.65" hidden="1" customHeight="1">
      <c r="B621" s="437">
        <f t="shared" si="20"/>
        <v>58</v>
      </c>
      <c r="C621" s="255"/>
      <c r="D621" s="438"/>
      <c r="E621" s="438"/>
      <c r="F621" s="89"/>
      <c r="G621" s="89"/>
      <c r="H621" s="89"/>
    </row>
    <row r="622" spans="2:8" ht="14.65" hidden="1" customHeight="1">
      <c r="B622" s="437">
        <f t="shared" si="20"/>
        <v>59</v>
      </c>
      <c r="C622" s="255"/>
      <c r="D622" s="438"/>
      <c r="E622" s="438"/>
      <c r="F622" s="89"/>
      <c r="G622" s="89"/>
      <c r="H622" s="89"/>
    </row>
    <row r="623" spans="2:8" ht="14.65" hidden="1" customHeight="1">
      <c r="B623" s="437">
        <f t="shared" si="20"/>
        <v>60</v>
      </c>
      <c r="C623" s="255"/>
      <c r="D623" s="438"/>
      <c r="E623" s="438"/>
      <c r="F623" s="89"/>
      <c r="G623" s="89"/>
      <c r="H623" s="89"/>
    </row>
    <row r="624" spans="2:8" ht="14.65" hidden="1" customHeight="1">
      <c r="B624" s="437">
        <f t="shared" si="20"/>
        <v>61</v>
      </c>
      <c r="C624" s="255"/>
      <c r="D624" s="438"/>
      <c r="E624" s="438"/>
      <c r="F624" s="89"/>
      <c r="G624" s="89"/>
      <c r="H624" s="89"/>
    </row>
    <row r="625" spans="2:8" ht="14.65" hidden="1" customHeight="1">
      <c r="B625" s="437">
        <f t="shared" si="20"/>
        <v>62</v>
      </c>
      <c r="C625" s="255"/>
      <c r="D625" s="438"/>
      <c r="E625" s="438"/>
      <c r="F625" s="89"/>
      <c r="G625" s="89"/>
      <c r="H625" s="89"/>
    </row>
    <row r="626" spans="2:8" ht="14.65" hidden="1" customHeight="1">
      <c r="B626" s="437">
        <f t="shared" si="20"/>
        <v>63</v>
      </c>
      <c r="C626" s="255"/>
      <c r="D626" s="438"/>
      <c r="E626" s="438"/>
      <c r="F626" s="89"/>
      <c r="G626" s="89"/>
      <c r="H626" s="89"/>
    </row>
    <row r="627" spans="2:8" ht="14.65" hidden="1" customHeight="1">
      <c r="B627" s="437">
        <f t="shared" si="20"/>
        <v>64</v>
      </c>
      <c r="C627" s="255"/>
      <c r="D627" s="438"/>
      <c r="E627" s="438"/>
      <c r="F627" s="89"/>
      <c r="G627" s="89"/>
      <c r="H627" s="89"/>
    </row>
    <row r="628" spans="2:8" ht="14.65" hidden="1" customHeight="1">
      <c r="B628" s="437">
        <f t="shared" si="20"/>
        <v>65</v>
      </c>
      <c r="C628" s="255"/>
      <c r="D628" s="438"/>
      <c r="E628" s="438"/>
      <c r="F628" s="89"/>
      <c r="G628" s="89"/>
      <c r="H628" s="89"/>
    </row>
    <row r="629" spans="2:8" ht="14.65" hidden="1" customHeight="1">
      <c r="B629" s="437">
        <f t="shared" si="20"/>
        <v>66</v>
      </c>
      <c r="C629" s="255"/>
      <c r="D629" s="438"/>
      <c r="E629" s="438"/>
      <c r="F629" s="89"/>
      <c r="G629" s="89"/>
      <c r="H629" s="89"/>
    </row>
    <row r="630" spans="2:8" ht="14.65" hidden="1" customHeight="1">
      <c r="B630" s="437">
        <f t="shared" ref="B630:B643" si="21">1+B629</f>
        <v>67</v>
      </c>
      <c r="C630" s="255"/>
      <c r="D630" s="438"/>
      <c r="E630" s="438"/>
      <c r="F630" s="89"/>
      <c r="G630" s="89"/>
      <c r="H630" s="89"/>
    </row>
    <row r="631" spans="2:8" ht="14.65" hidden="1" customHeight="1">
      <c r="B631" s="437">
        <f t="shared" si="21"/>
        <v>68</v>
      </c>
      <c r="C631" s="255"/>
      <c r="D631" s="438"/>
      <c r="E631" s="438"/>
      <c r="F631" s="89"/>
      <c r="G631" s="89"/>
      <c r="H631" s="89"/>
    </row>
    <row r="632" spans="2:8" ht="14.65" hidden="1" customHeight="1">
      <c r="B632" s="437">
        <f t="shared" si="21"/>
        <v>69</v>
      </c>
      <c r="C632" s="255"/>
      <c r="D632" s="438"/>
      <c r="E632" s="438"/>
      <c r="F632" s="89"/>
      <c r="G632" s="89"/>
      <c r="H632" s="89"/>
    </row>
    <row r="633" spans="2:8" ht="14.65" hidden="1" customHeight="1">
      <c r="B633" s="437">
        <f t="shared" si="21"/>
        <v>70</v>
      </c>
      <c r="C633" s="255"/>
      <c r="D633" s="438"/>
      <c r="E633" s="438"/>
      <c r="F633" s="89"/>
      <c r="G633" s="89"/>
      <c r="H633" s="89"/>
    </row>
    <row r="634" spans="2:8" ht="14.65" hidden="1" customHeight="1">
      <c r="B634" s="437">
        <f t="shared" si="21"/>
        <v>71</v>
      </c>
      <c r="C634" s="255"/>
      <c r="D634" s="438"/>
      <c r="E634" s="438"/>
      <c r="F634" s="89"/>
      <c r="G634" s="89"/>
      <c r="H634" s="89"/>
    </row>
    <row r="635" spans="2:8" ht="14.25" hidden="1">
      <c r="B635" s="437">
        <f t="shared" si="21"/>
        <v>72</v>
      </c>
      <c r="C635" s="255"/>
      <c r="D635" s="438"/>
      <c r="E635" s="438"/>
      <c r="F635" s="89"/>
      <c r="G635" s="89"/>
      <c r="H635" s="89"/>
    </row>
    <row r="636" spans="2:8" ht="14.25" hidden="1">
      <c r="B636" s="437">
        <f t="shared" si="21"/>
        <v>73</v>
      </c>
      <c r="C636" s="255"/>
      <c r="D636" s="438"/>
      <c r="E636" s="438"/>
      <c r="F636" s="89"/>
      <c r="G636" s="89"/>
      <c r="H636" s="89"/>
    </row>
    <row r="637" spans="2:8" ht="14.25" hidden="1">
      <c r="B637" s="437">
        <f t="shared" si="21"/>
        <v>74</v>
      </c>
      <c r="C637" s="255"/>
      <c r="D637" s="438"/>
      <c r="E637" s="438"/>
      <c r="F637" s="89"/>
      <c r="G637" s="89"/>
      <c r="H637" s="89"/>
    </row>
    <row r="638" spans="2:8" ht="14.25" hidden="1">
      <c r="B638" s="437">
        <f t="shared" si="21"/>
        <v>75</v>
      </c>
      <c r="C638" s="255"/>
      <c r="D638" s="438"/>
      <c r="E638" s="438"/>
      <c r="F638" s="89"/>
      <c r="G638" s="89"/>
      <c r="H638" s="89"/>
    </row>
    <row r="639" spans="2:8" ht="14.25" hidden="1">
      <c r="B639" s="437">
        <f t="shared" si="21"/>
        <v>76</v>
      </c>
      <c r="C639" s="255"/>
      <c r="D639" s="438"/>
      <c r="E639" s="438"/>
      <c r="F639" s="89"/>
      <c r="G639" s="89"/>
      <c r="H639" s="89"/>
    </row>
    <row r="640" spans="2:8" ht="14.25" hidden="1">
      <c r="B640" s="437">
        <f t="shared" si="21"/>
        <v>77</v>
      </c>
      <c r="C640" s="255"/>
      <c r="D640" s="438"/>
      <c r="E640" s="438"/>
      <c r="F640" s="89"/>
      <c r="G640" s="89"/>
      <c r="H640" s="89"/>
    </row>
    <row r="641" spans="2:13" ht="14.25" hidden="1">
      <c r="B641" s="437">
        <f t="shared" si="21"/>
        <v>78</v>
      </c>
      <c r="C641" s="255"/>
      <c r="D641" s="438"/>
      <c r="E641" s="438"/>
      <c r="F641" s="89"/>
      <c r="G641" s="89"/>
      <c r="H641" s="89"/>
    </row>
    <row r="642" spans="2:13" ht="14.25" hidden="1">
      <c r="B642" s="437">
        <f t="shared" si="21"/>
        <v>79</v>
      </c>
      <c r="C642" s="255"/>
      <c r="D642" s="438"/>
      <c r="E642" s="438"/>
      <c r="F642" s="89"/>
      <c r="G642" s="89"/>
      <c r="H642" s="89"/>
    </row>
    <row r="643" spans="2:13" ht="14.25">
      <c r="B643" s="437">
        <f t="shared" si="21"/>
        <v>80</v>
      </c>
      <c r="C643" s="255"/>
      <c r="D643" s="438"/>
      <c r="E643" s="438"/>
      <c r="F643" s="89"/>
      <c r="G643" s="89"/>
      <c r="H643" s="89"/>
    </row>
    <row r="644" spans="2:13" ht="12">
      <c r="C644" s="251" t="s">
        <v>998</v>
      </c>
    </row>
    <row r="645" spans="2:13" ht="12">
      <c r="C645" t="s">
        <v>805</v>
      </c>
    </row>
    <row r="646" spans="2:13" ht="12"/>
    <row r="647" spans="2:13" ht="12"/>
    <row r="648" spans="2:13" ht="12">
      <c r="C648">
        <v>1</v>
      </c>
      <c r="D648">
        <f>C648+1</f>
        <v>2</v>
      </c>
      <c r="E648">
        <f t="shared" ref="E648:L648" si="22">D648+1</f>
        <v>3</v>
      </c>
      <c r="F648">
        <f t="shared" si="22"/>
        <v>4</v>
      </c>
      <c r="G648">
        <f t="shared" si="22"/>
        <v>5</v>
      </c>
      <c r="H648">
        <f t="shared" si="22"/>
        <v>6</v>
      </c>
      <c r="I648">
        <f t="shared" si="22"/>
        <v>7</v>
      </c>
      <c r="J648">
        <f t="shared" si="22"/>
        <v>8</v>
      </c>
      <c r="K648">
        <f t="shared" si="22"/>
        <v>9</v>
      </c>
      <c r="L648">
        <f t="shared" si="22"/>
        <v>10</v>
      </c>
    </row>
    <row r="649" spans="2:13" ht="15.75">
      <c r="B649" s="251"/>
      <c r="C649" s="9" t="s">
        <v>1029</v>
      </c>
      <c r="D649" s="251"/>
      <c r="E649" s="251"/>
      <c r="F649" s="251"/>
      <c r="G649" s="251"/>
      <c r="H649" s="251"/>
      <c r="I649" s="251"/>
      <c r="J649" s="251"/>
      <c r="K649" s="251"/>
      <c r="L649" s="251"/>
    </row>
    <row r="650" spans="2:13" ht="12">
      <c r="B650" s="251"/>
      <c r="C650" s="266" t="s">
        <v>1030</v>
      </c>
      <c r="D650" s="251"/>
      <c r="E650" s="251"/>
      <c r="F650" s="251"/>
      <c r="G650" s="251"/>
      <c r="H650" s="251"/>
      <c r="I650" s="251"/>
      <c r="J650" s="251"/>
      <c r="K650" s="251"/>
      <c r="L650" s="251"/>
      <c r="M650" s="251"/>
    </row>
    <row r="651" spans="2:13" ht="12">
      <c r="B651" s="251"/>
      <c r="C651" s="478" t="s">
        <v>1031</v>
      </c>
      <c r="D651" s="98"/>
      <c r="E651" s="98"/>
      <c r="F651" s="251"/>
      <c r="G651" s="251"/>
      <c r="H651" s="251"/>
      <c r="I651" s="251"/>
      <c r="J651" s="251"/>
      <c r="K651" s="251"/>
      <c r="L651" s="251"/>
      <c r="M651" s="251"/>
    </row>
    <row r="652" spans="2:13" ht="12">
      <c r="B652" s="251"/>
      <c r="C652" s="251"/>
      <c r="D652" s="251"/>
      <c r="E652" s="251"/>
      <c r="F652" s="544">
        <v>2023</v>
      </c>
      <c r="G652" s="544"/>
      <c r="H652" s="544"/>
      <c r="I652" s="544"/>
      <c r="J652" s="544">
        <f>F652+1</f>
        <v>2024</v>
      </c>
      <c r="K652" s="544"/>
      <c r="L652" s="544"/>
      <c r="M652" s="544"/>
    </row>
    <row r="653" spans="2:13" ht="66.75" customHeight="1">
      <c r="B653" s="251"/>
      <c r="C653" s="430" t="s">
        <v>461</v>
      </c>
      <c r="D653" s="430" t="s">
        <v>462</v>
      </c>
      <c r="E653" s="444" t="s">
        <v>463</v>
      </c>
      <c r="F653" s="486" t="s">
        <v>1032</v>
      </c>
      <c r="G653" s="486" t="s">
        <v>1033</v>
      </c>
      <c r="H653" s="486" t="s">
        <v>1034</v>
      </c>
      <c r="I653" s="486" t="s">
        <v>498</v>
      </c>
      <c r="J653" s="486" t="s">
        <v>1032</v>
      </c>
      <c r="K653" s="486" t="s">
        <v>1033</v>
      </c>
      <c r="L653" s="486" t="s">
        <v>1034</v>
      </c>
      <c r="M653" s="479" t="s">
        <v>498</v>
      </c>
    </row>
    <row r="654" spans="2:13" ht="14.25">
      <c r="B654" s="437">
        <v>1</v>
      </c>
      <c r="C654" s="255" t="s">
        <v>166</v>
      </c>
      <c r="D654" s="438" t="s">
        <v>358</v>
      </c>
      <c r="E654" s="438" t="s">
        <v>796</v>
      </c>
      <c r="F654" s="513">
        <v>32351</v>
      </c>
      <c r="G654" s="513">
        <v>128545</v>
      </c>
      <c r="H654" s="513">
        <v>6232</v>
      </c>
      <c r="I654" s="447"/>
      <c r="J654" s="513">
        <v>36912</v>
      </c>
      <c r="K654" s="513">
        <v>157080</v>
      </c>
      <c r="L654" s="513">
        <v>6090</v>
      </c>
      <c r="M654" s="447"/>
    </row>
    <row r="655" spans="2:13" ht="14.25">
      <c r="B655" s="437">
        <f>1+B654</f>
        <v>2</v>
      </c>
      <c r="C655" s="255" t="s">
        <v>169</v>
      </c>
      <c r="D655" s="438" t="s">
        <v>358</v>
      </c>
      <c r="E655" s="438" t="s">
        <v>796</v>
      </c>
      <c r="F655" s="512">
        <v>17195</v>
      </c>
      <c r="G655" s="512">
        <v>34229</v>
      </c>
      <c r="H655" s="512">
        <v>5673</v>
      </c>
      <c r="I655" s="89"/>
      <c r="J655" s="512">
        <v>12465</v>
      </c>
      <c r="K655" s="512">
        <v>44415</v>
      </c>
      <c r="L655" s="512">
        <v>2689</v>
      </c>
      <c r="M655" s="89"/>
    </row>
    <row r="656" spans="2:13" ht="14.25">
      <c r="B656" s="437">
        <f t="shared" ref="B656:B719" si="23">1+B655</f>
        <v>3</v>
      </c>
      <c r="C656" s="255" t="s">
        <v>173</v>
      </c>
      <c r="D656" s="438" t="s">
        <v>358</v>
      </c>
      <c r="E656" s="438" t="s">
        <v>796</v>
      </c>
      <c r="F656" s="512">
        <v>19486</v>
      </c>
      <c r="G656" s="512">
        <v>63540</v>
      </c>
      <c r="H656" s="512">
        <v>3810</v>
      </c>
      <c r="I656" s="89"/>
      <c r="J656" s="512">
        <v>12655</v>
      </c>
      <c r="K656" s="512">
        <v>43919</v>
      </c>
      <c r="L656" s="512">
        <v>3859</v>
      </c>
      <c r="M656" s="89"/>
    </row>
    <row r="657" spans="2:13" ht="14.25">
      <c r="B657" s="437">
        <f t="shared" si="23"/>
        <v>4</v>
      </c>
      <c r="C657" s="255" t="s">
        <v>177</v>
      </c>
      <c r="D657" s="438" t="s">
        <v>358</v>
      </c>
      <c r="E657" s="438" t="s">
        <v>796</v>
      </c>
      <c r="F657" s="512">
        <v>855186</v>
      </c>
      <c r="G657" s="512">
        <v>3725799</v>
      </c>
      <c r="H657" s="512">
        <v>323946</v>
      </c>
      <c r="I657" s="89"/>
      <c r="J657" s="512">
        <v>990150</v>
      </c>
      <c r="K657" s="512">
        <v>5012893</v>
      </c>
      <c r="L657" s="512">
        <v>215088</v>
      </c>
      <c r="M657" s="89"/>
    </row>
    <row r="658" spans="2:13" ht="14.25">
      <c r="B658" s="437">
        <f t="shared" si="23"/>
        <v>5</v>
      </c>
      <c r="C658" s="255" t="s">
        <v>180</v>
      </c>
      <c r="D658" s="438" t="s">
        <v>358</v>
      </c>
      <c r="E658" s="438" t="s">
        <v>796</v>
      </c>
      <c r="F658" s="512">
        <v>12999</v>
      </c>
      <c r="G658" s="512">
        <v>277894</v>
      </c>
      <c r="H658" s="512">
        <v>14301</v>
      </c>
      <c r="I658" s="89"/>
      <c r="J658" s="512">
        <v>6753</v>
      </c>
      <c r="K658" s="512">
        <v>311930</v>
      </c>
      <c r="L658" s="512">
        <v>12284</v>
      </c>
      <c r="M658" s="89"/>
    </row>
    <row r="659" spans="2:13" ht="14.25">
      <c r="B659" s="437">
        <f t="shared" si="23"/>
        <v>6</v>
      </c>
      <c r="C659" s="255" t="s">
        <v>182</v>
      </c>
      <c r="D659" s="438" t="s">
        <v>358</v>
      </c>
      <c r="E659" s="438" t="s">
        <v>796</v>
      </c>
      <c r="F659" s="512">
        <v>3351</v>
      </c>
      <c r="G659" s="512">
        <v>305489</v>
      </c>
      <c r="H659" s="512">
        <v>6578</v>
      </c>
      <c r="I659" s="89"/>
      <c r="J659" s="512">
        <v>3194</v>
      </c>
      <c r="K659" s="512">
        <v>289896</v>
      </c>
      <c r="L659" s="512">
        <v>5085</v>
      </c>
      <c r="M659" s="89"/>
    </row>
    <row r="660" spans="2:13" ht="14.25">
      <c r="B660" s="437">
        <f t="shared" si="23"/>
        <v>7</v>
      </c>
      <c r="C660" s="255" t="s">
        <v>184</v>
      </c>
      <c r="D660" s="438" t="s">
        <v>358</v>
      </c>
      <c r="E660" s="438" t="s">
        <v>796</v>
      </c>
      <c r="F660" s="512">
        <v>27170</v>
      </c>
      <c r="G660" s="512">
        <v>290573</v>
      </c>
      <c r="H660" s="512">
        <v>13941</v>
      </c>
      <c r="I660" s="89"/>
      <c r="J660" s="512">
        <v>28754</v>
      </c>
      <c r="K660" s="512">
        <v>278815</v>
      </c>
      <c r="L660" s="512">
        <v>10008</v>
      </c>
      <c r="M660" s="89"/>
    </row>
    <row r="661" spans="2:13" ht="14.25">
      <c r="B661" s="437">
        <f t="shared" si="23"/>
        <v>8</v>
      </c>
      <c r="C661" s="255" t="s">
        <v>187</v>
      </c>
      <c r="D661" s="438" t="s">
        <v>358</v>
      </c>
      <c r="E661" s="438" t="s">
        <v>796</v>
      </c>
      <c r="F661" s="512">
        <v>57</v>
      </c>
      <c r="G661" s="512">
        <v>261396</v>
      </c>
      <c r="H661" s="512">
        <v>27</v>
      </c>
      <c r="I661" s="89"/>
      <c r="J661" s="512">
        <v>30</v>
      </c>
      <c r="K661" s="512">
        <v>170664</v>
      </c>
      <c r="L661" s="512">
        <v>16</v>
      </c>
      <c r="M661" s="89"/>
    </row>
    <row r="662" spans="2:13" ht="14.25">
      <c r="B662" s="437">
        <f t="shared" si="23"/>
        <v>9</v>
      </c>
      <c r="C662" s="255" t="s">
        <v>189</v>
      </c>
      <c r="D662" s="438" t="s">
        <v>358</v>
      </c>
      <c r="E662" s="438" t="s">
        <v>796</v>
      </c>
      <c r="F662" s="512">
        <v>128</v>
      </c>
      <c r="G662" s="512">
        <v>63010</v>
      </c>
      <c r="H662" s="512">
        <v>138</v>
      </c>
      <c r="I662" s="89"/>
      <c r="J662" s="512">
        <v>175</v>
      </c>
      <c r="K662" s="512">
        <v>46896</v>
      </c>
      <c r="L662" s="512">
        <v>77</v>
      </c>
      <c r="M662" s="89"/>
    </row>
    <row r="663" spans="2:13" ht="14.25">
      <c r="B663" s="437">
        <f t="shared" si="23"/>
        <v>10</v>
      </c>
      <c r="C663" s="255" t="s">
        <v>191</v>
      </c>
      <c r="D663" s="438" t="s">
        <v>358</v>
      </c>
      <c r="E663" s="438" t="s">
        <v>796</v>
      </c>
      <c r="F663" s="512">
        <v>278</v>
      </c>
      <c r="G663" s="512">
        <v>15755</v>
      </c>
      <c r="H663" s="512">
        <v>163</v>
      </c>
      <c r="I663" s="89"/>
      <c r="J663" s="512">
        <v>376</v>
      </c>
      <c r="K663" s="512">
        <v>11581</v>
      </c>
      <c r="L663" s="512">
        <v>149</v>
      </c>
      <c r="M663" s="89"/>
    </row>
    <row r="664" spans="2:13" ht="14.25">
      <c r="B664" s="437">
        <f t="shared" si="23"/>
        <v>11</v>
      </c>
      <c r="C664" s="255" t="s">
        <v>167</v>
      </c>
      <c r="D664" s="438" t="s">
        <v>358</v>
      </c>
      <c r="E664" s="438" t="s">
        <v>798</v>
      </c>
      <c r="F664" s="512">
        <v>5837</v>
      </c>
      <c r="G664" s="512">
        <v>12152</v>
      </c>
      <c r="H664" s="512">
        <v>1602</v>
      </c>
      <c r="I664" s="89"/>
      <c r="J664" s="512">
        <v>4288</v>
      </c>
      <c r="K664" s="512">
        <v>20985</v>
      </c>
      <c r="L664" s="512">
        <v>1723</v>
      </c>
      <c r="M664" s="89"/>
    </row>
    <row r="665" spans="2:13" ht="14.25">
      <c r="B665" s="437">
        <f t="shared" si="23"/>
        <v>12</v>
      </c>
      <c r="C665" s="126" t="s">
        <v>170</v>
      </c>
      <c r="D665" s="438" t="s">
        <v>358</v>
      </c>
      <c r="E665" s="438" t="s">
        <v>798</v>
      </c>
      <c r="F665" s="512">
        <v>45</v>
      </c>
      <c r="G665" s="512">
        <v>232</v>
      </c>
      <c r="H665" s="512">
        <v>21</v>
      </c>
      <c r="I665" s="89"/>
      <c r="J665" s="512">
        <v>46</v>
      </c>
      <c r="K665" s="512">
        <v>250</v>
      </c>
      <c r="L665" s="512">
        <v>12</v>
      </c>
      <c r="M665" s="89"/>
    </row>
    <row r="666" spans="2:13" ht="14.25">
      <c r="B666" s="437">
        <f t="shared" si="23"/>
        <v>13</v>
      </c>
      <c r="C666" s="255" t="s">
        <v>174</v>
      </c>
      <c r="D666" s="438" t="s">
        <v>358</v>
      </c>
      <c r="E666" s="438" t="s">
        <v>798</v>
      </c>
      <c r="F666" s="512">
        <v>188544</v>
      </c>
      <c r="G666" s="512">
        <v>867613</v>
      </c>
      <c r="H666" s="512">
        <v>81141</v>
      </c>
      <c r="I666" s="89"/>
      <c r="J666" s="512">
        <v>254080</v>
      </c>
      <c r="K666" s="512">
        <v>1819605</v>
      </c>
      <c r="L666" s="512">
        <v>88046</v>
      </c>
      <c r="M666" s="89"/>
    </row>
    <row r="667" spans="2:13" ht="14.25">
      <c r="B667" s="437">
        <f t="shared" si="23"/>
        <v>14</v>
      </c>
      <c r="C667" s="255" t="s">
        <v>178</v>
      </c>
      <c r="D667" s="438" t="s">
        <v>358</v>
      </c>
      <c r="E667" s="438" t="s">
        <v>798</v>
      </c>
      <c r="F667" s="512">
        <v>3576</v>
      </c>
      <c r="G667" s="512">
        <v>137216</v>
      </c>
      <c r="H667" s="512">
        <v>8221</v>
      </c>
      <c r="I667" s="89"/>
      <c r="J667" s="512">
        <v>2340</v>
      </c>
      <c r="K667" s="512">
        <v>166558</v>
      </c>
      <c r="L667" s="512">
        <v>8902</v>
      </c>
      <c r="M667" s="89"/>
    </row>
    <row r="668" spans="2:13" ht="14.25">
      <c r="B668" s="437">
        <f t="shared" si="23"/>
        <v>15</v>
      </c>
      <c r="C668" s="255" t="s">
        <v>181</v>
      </c>
      <c r="D668" s="438" t="s">
        <v>358</v>
      </c>
      <c r="E668" s="438" t="s">
        <v>798</v>
      </c>
      <c r="F668" s="512">
        <v>48</v>
      </c>
      <c r="G668" s="512">
        <v>128122</v>
      </c>
      <c r="H668" s="512">
        <v>37</v>
      </c>
      <c r="I668" s="89"/>
      <c r="J668" s="512">
        <v>148</v>
      </c>
      <c r="K668" s="512">
        <v>121443</v>
      </c>
      <c r="L668" s="512">
        <v>25</v>
      </c>
      <c r="M668" s="89"/>
    </row>
    <row r="669" spans="2:13" ht="14.25">
      <c r="B669" s="437">
        <f t="shared" si="23"/>
        <v>16</v>
      </c>
      <c r="C669" s="255" t="s">
        <v>183</v>
      </c>
      <c r="D669" s="438" t="s">
        <v>358</v>
      </c>
      <c r="E669" s="438" t="s">
        <v>798</v>
      </c>
      <c r="F669" s="512">
        <v>94</v>
      </c>
      <c r="G669" s="512">
        <v>135202</v>
      </c>
      <c r="H669" s="512">
        <v>414</v>
      </c>
      <c r="I669" s="89"/>
      <c r="J669" s="512">
        <v>90</v>
      </c>
      <c r="K669" s="512">
        <v>192551</v>
      </c>
      <c r="L669" s="512">
        <v>416</v>
      </c>
      <c r="M669" s="89"/>
    </row>
    <row r="670" spans="2:13" ht="14.25">
      <c r="B670" s="437">
        <f t="shared" si="23"/>
        <v>17</v>
      </c>
      <c r="C670" s="255" t="s">
        <v>185</v>
      </c>
      <c r="D670" s="438" t="s">
        <v>358</v>
      </c>
      <c r="E670" s="438" t="s">
        <v>798</v>
      </c>
      <c r="F670" s="512">
        <v>3</v>
      </c>
      <c r="G670" s="512">
        <v>15156</v>
      </c>
      <c r="H670" s="512">
        <v>7</v>
      </c>
      <c r="I670" s="89"/>
      <c r="J670" s="512">
        <v>8</v>
      </c>
      <c r="K670" s="512">
        <v>21478</v>
      </c>
      <c r="L670" s="512">
        <v>5</v>
      </c>
      <c r="M670" s="89"/>
    </row>
    <row r="671" spans="2:13" ht="14.25">
      <c r="B671" s="437">
        <f t="shared" si="23"/>
        <v>18</v>
      </c>
      <c r="C671" s="255" t="s">
        <v>195</v>
      </c>
      <c r="D671" s="438" t="s">
        <v>359</v>
      </c>
      <c r="E671" s="438" t="s">
        <v>796</v>
      </c>
      <c r="F671" s="512">
        <v>107375</v>
      </c>
      <c r="G671" s="512">
        <v>485301</v>
      </c>
      <c r="H671" s="512">
        <v>31630</v>
      </c>
      <c r="I671" s="89"/>
      <c r="J671" s="512">
        <v>96540</v>
      </c>
      <c r="K671" s="512">
        <v>601402</v>
      </c>
      <c r="L671" s="512">
        <v>24948</v>
      </c>
      <c r="M671" s="89"/>
    </row>
    <row r="672" spans="2:13" ht="14.25">
      <c r="B672" s="437">
        <f t="shared" si="23"/>
        <v>19</v>
      </c>
      <c r="C672" s="255" t="s">
        <v>197</v>
      </c>
      <c r="D672" s="438" t="s">
        <v>359</v>
      </c>
      <c r="E672" s="438" t="s">
        <v>796</v>
      </c>
      <c r="F672" s="512">
        <v>47080</v>
      </c>
      <c r="G672" s="512">
        <v>348654</v>
      </c>
      <c r="H672" s="512">
        <v>18665</v>
      </c>
      <c r="I672" s="89"/>
      <c r="J672" s="512">
        <v>45576</v>
      </c>
      <c r="K672" s="512">
        <v>302842</v>
      </c>
      <c r="L672" s="512">
        <v>17474</v>
      </c>
      <c r="M672" s="89"/>
    </row>
    <row r="673" spans="2:13" ht="14.25">
      <c r="B673" s="437">
        <f t="shared" si="23"/>
        <v>20</v>
      </c>
      <c r="C673" s="255" t="s">
        <v>199</v>
      </c>
      <c r="D673" s="438" t="s">
        <v>359</v>
      </c>
      <c r="E673" s="438" t="s">
        <v>796</v>
      </c>
      <c r="F673" s="512">
        <v>25</v>
      </c>
      <c r="G673" s="512">
        <v>2998</v>
      </c>
      <c r="H673" s="512">
        <v>16</v>
      </c>
      <c r="I673" s="89"/>
      <c r="J673" s="512">
        <v>89</v>
      </c>
      <c r="K673" s="512">
        <v>8215</v>
      </c>
      <c r="L673" s="512">
        <v>86</v>
      </c>
      <c r="M673" s="89"/>
    </row>
    <row r="674" spans="2:13" ht="14.25">
      <c r="B674" s="437">
        <f t="shared" si="23"/>
        <v>21</v>
      </c>
      <c r="C674" s="255" t="s">
        <v>201</v>
      </c>
      <c r="D674" s="438" t="s">
        <v>359</v>
      </c>
      <c r="E674" s="438" t="s">
        <v>796</v>
      </c>
      <c r="F674" s="512">
        <v>24183</v>
      </c>
      <c r="G674" s="512">
        <v>213185</v>
      </c>
      <c r="H674" s="512">
        <v>7154</v>
      </c>
      <c r="I674" s="89"/>
      <c r="J674" s="512">
        <v>21650</v>
      </c>
      <c r="K674" s="512">
        <v>179919</v>
      </c>
      <c r="L674" s="512">
        <v>6462</v>
      </c>
      <c r="M674" s="89"/>
    </row>
    <row r="675" spans="2:13" ht="14.25">
      <c r="B675" s="437">
        <f t="shared" si="23"/>
        <v>22</v>
      </c>
      <c r="C675" s="255" t="s">
        <v>203</v>
      </c>
      <c r="D675" s="438" t="s">
        <v>359</v>
      </c>
      <c r="E675" s="438" t="s">
        <v>796</v>
      </c>
      <c r="F675" s="512">
        <v>6</v>
      </c>
      <c r="G675" s="512">
        <v>680</v>
      </c>
      <c r="H675" s="512">
        <v>2</v>
      </c>
      <c r="I675" s="89"/>
      <c r="J675" s="512">
        <v>30</v>
      </c>
      <c r="K675" s="512">
        <v>3941</v>
      </c>
      <c r="L675" s="512">
        <v>25</v>
      </c>
      <c r="M675" s="89"/>
    </row>
    <row r="676" spans="2:13" ht="14.25">
      <c r="B676" s="437">
        <f t="shared" si="23"/>
        <v>23</v>
      </c>
      <c r="C676" s="255" t="s">
        <v>205</v>
      </c>
      <c r="D676" s="438" t="s">
        <v>359</v>
      </c>
      <c r="E676" s="438" t="s">
        <v>796</v>
      </c>
      <c r="F676" s="512">
        <v>10</v>
      </c>
      <c r="G676" s="512">
        <v>53</v>
      </c>
      <c r="H676" s="512">
        <v>3</v>
      </c>
      <c r="I676" s="89"/>
      <c r="J676" s="512">
        <v>10</v>
      </c>
      <c r="K676" s="512">
        <v>70</v>
      </c>
      <c r="L676" s="512">
        <v>3</v>
      </c>
      <c r="M676" s="89"/>
    </row>
    <row r="677" spans="2:13" ht="14.25">
      <c r="B677" s="437">
        <f t="shared" si="23"/>
        <v>24</v>
      </c>
      <c r="C677" s="255" t="s">
        <v>206</v>
      </c>
      <c r="D677" s="438" t="s">
        <v>359</v>
      </c>
      <c r="E677" s="438" t="s">
        <v>796</v>
      </c>
      <c r="F677" s="512">
        <v>1</v>
      </c>
      <c r="G677" s="512">
        <v>19</v>
      </c>
      <c r="H677" s="512">
        <v>1</v>
      </c>
      <c r="I677" s="89"/>
      <c r="J677" s="512">
        <v>2</v>
      </c>
      <c r="K677" s="512">
        <v>36</v>
      </c>
      <c r="L677" s="512">
        <v>1</v>
      </c>
      <c r="M677" s="89"/>
    </row>
    <row r="678" spans="2:13" ht="14.25">
      <c r="B678" s="437">
        <f t="shared" si="23"/>
        <v>25</v>
      </c>
      <c r="C678" s="255" t="s">
        <v>207</v>
      </c>
      <c r="D678" s="438" t="s">
        <v>359</v>
      </c>
      <c r="E678" s="438" t="s">
        <v>796</v>
      </c>
      <c r="F678" s="512">
        <v>1</v>
      </c>
      <c r="G678" s="512">
        <v>15</v>
      </c>
      <c r="H678" s="512">
        <v>1</v>
      </c>
      <c r="I678" s="89"/>
      <c r="J678" s="512">
        <v>1</v>
      </c>
      <c r="K678" s="512">
        <v>17</v>
      </c>
      <c r="L678" s="512">
        <v>1</v>
      </c>
      <c r="M678" s="89"/>
    </row>
    <row r="679" spans="2:13" ht="14.25">
      <c r="B679" s="437">
        <f t="shared" si="23"/>
        <v>26</v>
      </c>
      <c r="C679" s="126" t="s">
        <v>188</v>
      </c>
      <c r="D679" s="438" t="s">
        <v>359</v>
      </c>
      <c r="E679" s="438" t="s">
        <v>798</v>
      </c>
      <c r="F679" s="512">
        <v>83</v>
      </c>
      <c r="G679" s="512">
        <v>201</v>
      </c>
      <c r="H679" s="512">
        <v>22</v>
      </c>
      <c r="I679" s="89"/>
      <c r="J679" s="512">
        <v>57</v>
      </c>
      <c r="K679" s="512">
        <v>134</v>
      </c>
      <c r="L679" s="512">
        <v>15</v>
      </c>
      <c r="M679" s="89"/>
    </row>
    <row r="680" spans="2:13" ht="14.25">
      <c r="B680" s="437">
        <f t="shared" si="23"/>
        <v>27</v>
      </c>
      <c r="C680" s="255" t="s">
        <v>190</v>
      </c>
      <c r="D680" s="438" t="s">
        <v>359</v>
      </c>
      <c r="E680" s="438" t="s">
        <v>798</v>
      </c>
      <c r="F680" s="512">
        <v>15977</v>
      </c>
      <c r="G680" s="512">
        <v>92155</v>
      </c>
      <c r="H680" s="512">
        <v>3842</v>
      </c>
      <c r="I680" s="89"/>
      <c r="J680" s="512">
        <v>15712</v>
      </c>
      <c r="K680" s="512">
        <v>92142</v>
      </c>
      <c r="L680" s="512">
        <v>3598</v>
      </c>
      <c r="M680" s="89"/>
    </row>
    <row r="681" spans="2:13" ht="14.25">
      <c r="B681" s="437">
        <f t="shared" si="23"/>
        <v>28</v>
      </c>
      <c r="C681" s="255" t="s">
        <v>192</v>
      </c>
      <c r="D681" s="438" t="s">
        <v>359</v>
      </c>
      <c r="E681" s="438" t="s">
        <v>798</v>
      </c>
      <c r="F681" s="512">
        <v>681</v>
      </c>
      <c r="G681" s="512">
        <v>5563</v>
      </c>
      <c r="H681" s="512">
        <v>248</v>
      </c>
      <c r="I681" s="89"/>
      <c r="J681" s="512">
        <v>2307</v>
      </c>
      <c r="K681" s="512">
        <v>26933</v>
      </c>
      <c r="L681" s="512">
        <v>778</v>
      </c>
      <c r="M681" s="89"/>
    </row>
    <row r="682" spans="2:13" ht="14.25">
      <c r="B682" s="437">
        <f t="shared" si="23"/>
        <v>29</v>
      </c>
      <c r="C682" s="255" t="s">
        <v>193</v>
      </c>
      <c r="D682" s="438" t="s">
        <v>359</v>
      </c>
      <c r="E682" s="438" t="s">
        <v>798</v>
      </c>
      <c r="F682" s="512">
        <v>9</v>
      </c>
      <c r="G682" s="512">
        <v>9645</v>
      </c>
      <c r="H682" s="512">
        <v>4</v>
      </c>
      <c r="I682" s="89"/>
      <c r="J682" s="512">
        <v>7</v>
      </c>
      <c r="K682" s="512">
        <v>13400</v>
      </c>
      <c r="L682" s="512">
        <v>2</v>
      </c>
      <c r="M682" s="89"/>
    </row>
    <row r="683" spans="2:13" ht="14.25">
      <c r="B683" s="437">
        <f t="shared" si="23"/>
        <v>30</v>
      </c>
      <c r="C683" s="255" t="s">
        <v>194</v>
      </c>
      <c r="D683" s="438" t="s">
        <v>359</v>
      </c>
      <c r="E683" s="438" t="s">
        <v>798</v>
      </c>
      <c r="F683" s="512">
        <v>83</v>
      </c>
      <c r="G683" s="512">
        <v>11966</v>
      </c>
      <c r="H683" s="512">
        <v>64</v>
      </c>
      <c r="I683" s="89"/>
      <c r="J683" s="512">
        <v>74</v>
      </c>
      <c r="K683" s="512">
        <v>22564</v>
      </c>
      <c r="L683" s="512">
        <v>51</v>
      </c>
      <c r="M683" s="89"/>
    </row>
    <row r="684" spans="2:13" ht="14.25">
      <c r="B684" s="437">
        <f t="shared" si="23"/>
        <v>31</v>
      </c>
      <c r="C684" s="255" t="s">
        <v>196</v>
      </c>
      <c r="D684" s="438" t="s">
        <v>359</v>
      </c>
      <c r="E684" s="438" t="s">
        <v>798</v>
      </c>
      <c r="F684" s="512">
        <v>15</v>
      </c>
      <c r="G684" s="512">
        <v>6478</v>
      </c>
      <c r="H684" s="512">
        <v>7</v>
      </c>
      <c r="I684" s="89"/>
      <c r="J684" s="512">
        <v>14</v>
      </c>
      <c r="K684" s="512">
        <v>7282</v>
      </c>
      <c r="L684" s="512">
        <v>6</v>
      </c>
      <c r="M684" s="89"/>
    </row>
    <row r="685" spans="2:13" ht="14.25">
      <c r="B685" s="437">
        <f t="shared" si="23"/>
        <v>32</v>
      </c>
      <c r="C685" s="255" t="s">
        <v>198</v>
      </c>
      <c r="D685" s="438" t="s">
        <v>359</v>
      </c>
      <c r="E685" s="438" t="s">
        <v>796</v>
      </c>
      <c r="F685" s="512">
        <v>19868</v>
      </c>
      <c r="G685" s="512">
        <v>25295</v>
      </c>
      <c r="H685" s="512">
        <v>4386</v>
      </c>
      <c r="I685" s="89"/>
      <c r="J685" s="512">
        <v>20966</v>
      </c>
      <c r="K685" s="512">
        <v>26507</v>
      </c>
      <c r="L685" s="512">
        <v>2937</v>
      </c>
      <c r="M685" s="89"/>
    </row>
    <row r="686" spans="2:13" ht="14.25">
      <c r="B686" s="437">
        <f t="shared" si="23"/>
        <v>33</v>
      </c>
      <c r="C686" s="255" t="s">
        <v>200</v>
      </c>
      <c r="D686" s="438" t="s">
        <v>359</v>
      </c>
      <c r="E686" s="438" t="s">
        <v>796</v>
      </c>
      <c r="F686" s="512">
        <v>3026</v>
      </c>
      <c r="G686" s="512">
        <v>6858</v>
      </c>
      <c r="H686" s="512">
        <v>753</v>
      </c>
      <c r="I686" s="89"/>
      <c r="J686" s="512">
        <v>3411</v>
      </c>
      <c r="K686" s="512">
        <v>7731</v>
      </c>
      <c r="L686" s="512">
        <v>647</v>
      </c>
      <c r="M686" s="89"/>
    </row>
    <row r="687" spans="2:13" ht="14.25">
      <c r="B687" s="437">
        <f t="shared" si="23"/>
        <v>34</v>
      </c>
      <c r="C687" s="255" t="s">
        <v>202</v>
      </c>
      <c r="D687" s="438" t="s">
        <v>359</v>
      </c>
      <c r="E687" s="438" t="s">
        <v>796</v>
      </c>
      <c r="F687" s="512">
        <v>2790</v>
      </c>
      <c r="G687" s="512">
        <v>9670</v>
      </c>
      <c r="H687" s="512">
        <v>854</v>
      </c>
      <c r="I687" s="89"/>
      <c r="J687" s="512">
        <v>2301</v>
      </c>
      <c r="K687" s="512">
        <v>7394</v>
      </c>
      <c r="L687" s="512">
        <v>654</v>
      </c>
      <c r="M687" s="89"/>
    </row>
    <row r="688" spans="2:13" ht="14.25">
      <c r="B688" s="437">
        <f t="shared" si="23"/>
        <v>35</v>
      </c>
      <c r="C688" s="255" t="s">
        <v>518</v>
      </c>
      <c r="D688" s="438" t="s">
        <v>359</v>
      </c>
      <c r="E688" s="438" t="s">
        <v>796</v>
      </c>
      <c r="F688" s="512">
        <v>50</v>
      </c>
      <c r="G688" s="512">
        <v>8230</v>
      </c>
      <c r="H688" s="512">
        <v>17</v>
      </c>
      <c r="I688" s="89"/>
      <c r="J688" s="512">
        <v>63</v>
      </c>
      <c r="K688" s="512">
        <v>8429</v>
      </c>
      <c r="L688" s="512">
        <v>19</v>
      </c>
      <c r="M688" s="89"/>
    </row>
    <row r="689" spans="2:13" ht="14.25">
      <c r="B689" s="437">
        <f t="shared" si="23"/>
        <v>36</v>
      </c>
      <c r="C689" s="255" t="s">
        <v>521</v>
      </c>
      <c r="D689" s="438" t="s">
        <v>359</v>
      </c>
      <c r="E689" s="438" t="s">
        <v>796</v>
      </c>
      <c r="F689" s="512">
        <v>24</v>
      </c>
      <c r="G689" s="512">
        <v>16056</v>
      </c>
      <c r="H689" s="512">
        <v>9</v>
      </c>
      <c r="I689" s="89"/>
      <c r="J689" s="512">
        <v>18</v>
      </c>
      <c r="K689" s="512">
        <v>12286</v>
      </c>
      <c r="L689" s="512">
        <v>12</v>
      </c>
      <c r="M689" s="89"/>
    </row>
    <row r="690" spans="2:13" ht="14.25">
      <c r="B690" s="437">
        <f t="shared" si="23"/>
        <v>37</v>
      </c>
      <c r="C690" s="255" t="s">
        <v>502</v>
      </c>
      <c r="D690" s="438" t="s">
        <v>359</v>
      </c>
      <c r="E690" s="438" t="s">
        <v>796</v>
      </c>
      <c r="F690" s="512">
        <v>0</v>
      </c>
      <c r="G690" s="512">
        <v>0</v>
      </c>
      <c r="H690" s="512">
        <v>0</v>
      </c>
      <c r="I690" s="89"/>
      <c r="J690" s="512">
        <v>0</v>
      </c>
      <c r="K690" s="512">
        <v>0</v>
      </c>
      <c r="L690" s="512">
        <v>0</v>
      </c>
      <c r="M690" s="89"/>
    </row>
    <row r="691" spans="2:13" ht="14.25">
      <c r="B691" s="437">
        <f t="shared" si="23"/>
        <v>38</v>
      </c>
      <c r="C691" s="255" t="s">
        <v>504</v>
      </c>
      <c r="D691" s="438" t="s">
        <v>359</v>
      </c>
      <c r="E691" s="438" t="s">
        <v>796</v>
      </c>
      <c r="F691" s="512">
        <v>0</v>
      </c>
      <c r="G691" s="512">
        <v>0</v>
      </c>
      <c r="H691" s="512">
        <v>0</v>
      </c>
      <c r="I691" s="89"/>
      <c r="J691" s="512">
        <v>0</v>
      </c>
      <c r="K691" s="512">
        <v>0</v>
      </c>
      <c r="L691" s="512">
        <v>0</v>
      </c>
      <c r="M691" s="89"/>
    </row>
    <row r="692" spans="2:13" ht="14.25">
      <c r="B692" s="437">
        <f t="shared" si="23"/>
        <v>39</v>
      </c>
      <c r="C692" s="255" t="s">
        <v>506</v>
      </c>
      <c r="D692" s="438" t="s">
        <v>359</v>
      </c>
      <c r="E692" s="438" t="s">
        <v>796</v>
      </c>
      <c r="F692" s="512">
        <v>0</v>
      </c>
      <c r="G692" s="512">
        <v>0</v>
      </c>
      <c r="H692" s="512">
        <v>0</v>
      </c>
      <c r="I692" s="89"/>
      <c r="J692" s="512">
        <v>0</v>
      </c>
      <c r="K692" s="512">
        <v>0</v>
      </c>
      <c r="L692" s="512">
        <v>0</v>
      </c>
      <c r="M692" s="89"/>
    </row>
    <row r="693" spans="2:13" ht="14.25">
      <c r="B693" s="437">
        <f t="shared" si="23"/>
        <v>40</v>
      </c>
      <c r="C693" s="255" t="s">
        <v>461</v>
      </c>
      <c r="D693" s="438" t="s">
        <v>1023</v>
      </c>
      <c r="E693" s="438" t="s">
        <v>1024</v>
      </c>
      <c r="F693" s="89"/>
      <c r="G693" s="89"/>
      <c r="H693" s="89"/>
      <c r="I693" s="89"/>
      <c r="J693" s="89"/>
      <c r="K693" s="89"/>
      <c r="L693" s="89"/>
      <c r="M693" s="89"/>
    </row>
    <row r="694" spans="2:13" ht="14.25">
      <c r="B694" s="437">
        <f t="shared" si="23"/>
        <v>41</v>
      </c>
      <c r="C694" s="255" t="s">
        <v>461</v>
      </c>
      <c r="D694" s="438" t="s">
        <v>1023</v>
      </c>
      <c r="E694" s="438" t="s">
        <v>1024</v>
      </c>
      <c r="F694" s="89"/>
      <c r="G694" s="89"/>
      <c r="H694" s="89"/>
      <c r="I694" s="89"/>
      <c r="J694" s="89"/>
      <c r="K694" s="89"/>
      <c r="L694" s="89"/>
      <c r="M694" s="89"/>
    </row>
    <row r="695" spans="2:13" ht="14.25">
      <c r="B695" s="437">
        <f t="shared" si="23"/>
        <v>42</v>
      </c>
      <c r="C695" s="255" t="s">
        <v>461</v>
      </c>
      <c r="D695" s="438" t="s">
        <v>1023</v>
      </c>
      <c r="E695" s="438" t="s">
        <v>1024</v>
      </c>
      <c r="F695" s="89"/>
      <c r="G695" s="89"/>
      <c r="H695" s="89"/>
      <c r="I695" s="89"/>
      <c r="J695" s="89"/>
      <c r="K695" s="89"/>
      <c r="L695" s="89"/>
      <c r="M695" s="89"/>
    </row>
    <row r="696" spans="2:13" ht="14.25">
      <c r="B696" s="437">
        <f t="shared" si="23"/>
        <v>43</v>
      </c>
      <c r="C696" s="255" t="s">
        <v>461</v>
      </c>
      <c r="D696" s="438" t="s">
        <v>1023</v>
      </c>
      <c r="E696" s="438" t="s">
        <v>1024</v>
      </c>
      <c r="F696" s="89"/>
      <c r="G696" s="89"/>
      <c r="H696" s="89"/>
      <c r="I696" s="89"/>
      <c r="J696" s="89"/>
      <c r="K696" s="89"/>
      <c r="L696" s="89"/>
      <c r="M696" s="89"/>
    </row>
    <row r="697" spans="2:13" ht="14.25">
      <c r="B697" s="437">
        <f t="shared" si="23"/>
        <v>44</v>
      </c>
      <c r="C697" s="255" t="s">
        <v>461</v>
      </c>
      <c r="D697" s="438" t="s">
        <v>1023</v>
      </c>
      <c r="E697" s="438" t="s">
        <v>1024</v>
      </c>
      <c r="F697" s="89"/>
      <c r="G697" s="89"/>
      <c r="H697" s="89"/>
      <c r="I697" s="89"/>
      <c r="J697" s="89"/>
      <c r="K697" s="89"/>
      <c r="L697" s="89"/>
      <c r="M697" s="89"/>
    </row>
    <row r="698" spans="2:13" ht="14.25">
      <c r="B698" s="437">
        <f t="shared" si="23"/>
        <v>45</v>
      </c>
      <c r="C698" s="255" t="s">
        <v>461</v>
      </c>
      <c r="D698" s="438" t="s">
        <v>1023</v>
      </c>
      <c r="E698" s="438" t="s">
        <v>1024</v>
      </c>
      <c r="F698" s="89"/>
      <c r="G698" s="89"/>
      <c r="H698" s="89"/>
      <c r="I698" s="89"/>
      <c r="J698" s="89"/>
      <c r="K698" s="89"/>
      <c r="L698" s="89"/>
      <c r="M698" s="89"/>
    </row>
    <row r="699" spans="2:13" ht="14.25">
      <c r="B699" s="437">
        <f t="shared" si="23"/>
        <v>46</v>
      </c>
      <c r="C699" s="255" t="s">
        <v>461</v>
      </c>
      <c r="D699" s="438" t="s">
        <v>1023</v>
      </c>
      <c r="E699" s="438" t="s">
        <v>1024</v>
      </c>
      <c r="F699" s="89"/>
      <c r="G699" s="89"/>
      <c r="H699" s="89"/>
      <c r="I699" s="89"/>
      <c r="J699" s="89"/>
      <c r="K699" s="89"/>
      <c r="L699" s="89"/>
      <c r="M699" s="89"/>
    </row>
    <row r="700" spans="2:13" ht="14.25">
      <c r="B700" s="437">
        <f t="shared" si="23"/>
        <v>47</v>
      </c>
      <c r="C700" s="255" t="s">
        <v>461</v>
      </c>
      <c r="D700" s="438" t="s">
        <v>1023</v>
      </c>
      <c r="E700" s="438" t="s">
        <v>1024</v>
      </c>
      <c r="F700" s="89"/>
      <c r="G700" s="89"/>
      <c r="H700" s="89"/>
      <c r="I700" s="89"/>
      <c r="J700" s="89"/>
      <c r="K700" s="89"/>
      <c r="L700" s="89"/>
      <c r="M700" s="89"/>
    </row>
    <row r="701" spans="2:13" ht="14.25">
      <c r="B701" s="437">
        <f t="shared" si="23"/>
        <v>48</v>
      </c>
      <c r="C701" s="255" t="s">
        <v>461</v>
      </c>
      <c r="D701" s="438" t="s">
        <v>1023</v>
      </c>
      <c r="E701" s="438" t="s">
        <v>1024</v>
      </c>
      <c r="F701" s="89"/>
      <c r="G701" s="89"/>
      <c r="H701" s="89"/>
      <c r="I701" s="89"/>
      <c r="J701" s="89"/>
      <c r="K701" s="89"/>
      <c r="L701" s="89"/>
      <c r="M701" s="89"/>
    </row>
    <row r="702" spans="2:13" ht="14.25">
      <c r="B702" s="437">
        <f t="shared" si="23"/>
        <v>49</v>
      </c>
      <c r="C702" s="255" t="s">
        <v>461</v>
      </c>
      <c r="D702" s="438" t="s">
        <v>1023</v>
      </c>
      <c r="E702" s="438" t="s">
        <v>1024</v>
      </c>
      <c r="F702" s="89"/>
      <c r="G702" s="89"/>
      <c r="H702" s="89"/>
      <c r="I702" s="89"/>
      <c r="J702" s="89"/>
      <c r="K702" s="89"/>
      <c r="L702" s="89"/>
      <c r="M702" s="89"/>
    </row>
    <row r="703" spans="2:13" ht="14.25">
      <c r="B703" s="437">
        <f t="shared" si="23"/>
        <v>50</v>
      </c>
      <c r="C703" s="255" t="s">
        <v>461</v>
      </c>
      <c r="D703" s="438" t="s">
        <v>1023</v>
      </c>
      <c r="E703" s="438" t="s">
        <v>1024</v>
      </c>
      <c r="F703" s="89"/>
      <c r="G703" s="89"/>
      <c r="H703" s="89"/>
      <c r="I703" s="89"/>
      <c r="J703" s="89"/>
      <c r="K703" s="89"/>
      <c r="L703" s="89"/>
      <c r="M703" s="89"/>
    </row>
    <row r="704" spans="2:13" ht="14.25">
      <c r="B704" s="437">
        <f t="shared" si="23"/>
        <v>51</v>
      </c>
      <c r="C704" s="255" t="s">
        <v>461</v>
      </c>
      <c r="D704" s="438" t="s">
        <v>1023</v>
      </c>
      <c r="E704" s="438" t="s">
        <v>1024</v>
      </c>
      <c r="F704" s="89"/>
      <c r="G704" s="89"/>
      <c r="H704" s="89"/>
      <c r="I704" s="89"/>
      <c r="J704" s="89"/>
      <c r="K704" s="89"/>
      <c r="L704" s="89"/>
      <c r="M704" s="89"/>
    </row>
    <row r="705" spans="2:13" ht="14.25">
      <c r="B705" s="437">
        <f t="shared" si="23"/>
        <v>52</v>
      </c>
      <c r="C705" s="255" t="s">
        <v>461</v>
      </c>
      <c r="D705" s="438" t="s">
        <v>1023</v>
      </c>
      <c r="E705" s="438" t="s">
        <v>1024</v>
      </c>
      <c r="F705" s="89"/>
      <c r="G705" s="89"/>
      <c r="H705" s="89"/>
      <c r="I705" s="89"/>
      <c r="J705" s="89"/>
      <c r="K705" s="89"/>
      <c r="L705" s="89"/>
      <c r="M705" s="89"/>
    </row>
    <row r="706" spans="2:13" ht="14.25">
      <c r="B706" s="437">
        <f t="shared" si="23"/>
        <v>53</v>
      </c>
      <c r="C706" s="255" t="s">
        <v>461</v>
      </c>
      <c r="D706" s="438" t="s">
        <v>1023</v>
      </c>
      <c r="E706" s="438" t="s">
        <v>1024</v>
      </c>
      <c r="F706" s="89"/>
      <c r="G706" s="89"/>
      <c r="H706" s="89"/>
      <c r="I706" s="89"/>
      <c r="J706" s="89"/>
      <c r="K706" s="89"/>
      <c r="L706" s="89"/>
      <c r="M706" s="89"/>
    </row>
    <row r="707" spans="2:13" ht="14.25">
      <c r="B707" s="437">
        <f t="shared" si="23"/>
        <v>54</v>
      </c>
      <c r="C707" s="255" t="s">
        <v>461</v>
      </c>
      <c r="D707" s="438" t="s">
        <v>1023</v>
      </c>
      <c r="E707" s="438" t="s">
        <v>1024</v>
      </c>
      <c r="F707" s="89"/>
      <c r="G707" s="89"/>
      <c r="H707" s="89"/>
      <c r="I707" s="89"/>
      <c r="J707" s="89"/>
      <c r="K707" s="89"/>
      <c r="L707" s="89"/>
      <c r="M707" s="89"/>
    </row>
    <row r="708" spans="2:13" ht="14.25">
      <c r="B708" s="437">
        <f t="shared" si="23"/>
        <v>55</v>
      </c>
      <c r="C708" s="255" t="s">
        <v>461</v>
      </c>
      <c r="D708" s="438" t="s">
        <v>1023</v>
      </c>
      <c r="E708" s="438" t="s">
        <v>1024</v>
      </c>
      <c r="F708" s="89"/>
      <c r="G708" s="89"/>
      <c r="H708" s="89"/>
      <c r="I708" s="89"/>
      <c r="J708" s="89"/>
      <c r="K708" s="89"/>
      <c r="L708" s="89"/>
      <c r="M708" s="89"/>
    </row>
    <row r="709" spans="2:13" ht="14.25">
      <c r="B709" s="437">
        <f t="shared" si="23"/>
        <v>56</v>
      </c>
      <c r="C709" s="255" t="s">
        <v>461</v>
      </c>
      <c r="D709" s="438" t="s">
        <v>1023</v>
      </c>
      <c r="E709" s="438" t="s">
        <v>1024</v>
      </c>
      <c r="F709" s="89"/>
      <c r="G709" s="89"/>
      <c r="H709" s="89"/>
      <c r="I709" s="89"/>
      <c r="J709" s="89"/>
      <c r="K709" s="89"/>
      <c r="L709" s="89"/>
      <c r="M709" s="89"/>
    </row>
    <row r="710" spans="2:13" ht="14.25">
      <c r="B710" s="437">
        <f t="shared" si="23"/>
        <v>57</v>
      </c>
      <c r="C710" s="255" t="s">
        <v>461</v>
      </c>
      <c r="D710" s="438" t="s">
        <v>1023</v>
      </c>
      <c r="E710" s="438" t="s">
        <v>1024</v>
      </c>
      <c r="F710" s="89"/>
      <c r="G710" s="89"/>
      <c r="H710" s="89"/>
      <c r="I710" s="89"/>
      <c r="J710" s="89"/>
      <c r="K710" s="89"/>
      <c r="L710" s="89"/>
      <c r="M710" s="89"/>
    </row>
    <row r="711" spans="2:13" ht="14.25">
      <c r="B711" s="437">
        <f t="shared" si="23"/>
        <v>58</v>
      </c>
      <c r="C711" s="255" t="s">
        <v>461</v>
      </c>
      <c r="D711" s="438" t="s">
        <v>1023</v>
      </c>
      <c r="E711" s="438" t="s">
        <v>1024</v>
      </c>
      <c r="F711" s="89"/>
      <c r="G711" s="89"/>
      <c r="H711" s="89"/>
      <c r="I711" s="89"/>
      <c r="J711" s="89"/>
      <c r="K711" s="89"/>
      <c r="L711" s="89"/>
      <c r="M711" s="89"/>
    </row>
    <row r="712" spans="2:13" ht="14.25">
      <c r="B712" s="437">
        <f t="shared" si="23"/>
        <v>59</v>
      </c>
      <c r="C712" s="255" t="s">
        <v>461</v>
      </c>
      <c r="D712" s="438" t="s">
        <v>1023</v>
      </c>
      <c r="E712" s="438" t="s">
        <v>1024</v>
      </c>
      <c r="F712" s="89"/>
      <c r="G712" s="89"/>
      <c r="H712" s="89"/>
      <c r="I712" s="89"/>
      <c r="J712" s="89"/>
      <c r="K712" s="89"/>
      <c r="L712" s="89"/>
      <c r="M712" s="89"/>
    </row>
    <row r="713" spans="2:13" ht="14.25">
      <c r="B713" s="437">
        <f t="shared" si="23"/>
        <v>60</v>
      </c>
      <c r="C713" s="255" t="s">
        <v>461</v>
      </c>
      <c r="D713" s="438" t="s">
        <v>1023</v>
      </c>
      <c r="E713" s="438" t="s">
        <v>1024</v>
      </c>
      <c r="F713" s="89"/>
      <c r="G713" s="89"/>
      <c r="H713" s="89"/>
      <c r="I713" s="89"/>
      <c r="J713" s="89"/>
      <c r="K713" s="89"/>
      <c r="L713" s="89"/>
      <c r="M713" s="89"/>
    </row>
    <row r="714" spans="2:13" ht="14.25">
      <c r="B714" s="437">
        <f t="shared" si="23"/>
        <v>61</v>
      </c>
      <c r="C714" s="255" t="s">
        <v>461</v>
      </c>
      <c r="D714" s="438" t="s">
        <v>1023</v>
      </c>
      <c r="E714" s="438" t="s">
        <v>1024</v>
      </c>
      <c r="F714" s="89"/>
      <c r="G714" s="89"/>
      <c r="H714" s="89"/>
      <c r="I714" s="89"/>
      <c r="J714" s="89"/>
      <c r="K714" s="89"/>
      <c r="L714" s="89"/>
      <c r="M714" s="89"/>
    </row>
    <row r="715" spans="2:13" ht="14.25">
      <c r="B715" s="437">
        <f t="shared" si="23"/>
        <v>62</v>
      </c>
      <c r="C715" s="255" t="s">
        <v>461</v>
      </c>
      <c r="D715" s="438" t="s">
        <v>1023</v>
      </c>
      <c r="E715" s="438" t="s">
        <v>1024</v>
      </c>
      <c r="F715" s="89"/>
      <c r="G715" s="89"/>
      <c r="H715" s="89"/>
      <c r="I715" s="89"/>
      <c r="J715" s="89"/>
      <c r="K715" s="89"/>
      <c r="L715" s="89"/>
      <c r="M715" s="89"/>
    </row>
    <row r="716" spans="2:13" ht="14.25">
      <c r="B716" s="437">
        <f t="shared" si="23"/>
        <v>63</v>
      </c>
      <c r="C716" s="255" t="s">
        <v>461</v>
      </c>
      <c r="D716" s="438" t="s">
        <v>1023</v>
      </c>
      <c r="E716" s="438" t="s">
        <v>1024</v>
      </c>
      <c r="F716" s="89"/>
      <c r="G716" s="89"/>
      <c r="H716" s="89"/>
      <c r="I716" s="89"/>
      <c r="J716" s="89"/>
      <c r="K716" s="89"/>
      <c r="L716" s="89"/>
      <c r="M716" s="89"/>
    </row>
    <row r="717" spans="2:13" ht="14.25">
      <c r="B717" s="437">
        <f t="shared" si="23"/>
        <v>64</v>
      </c>
      <c r="C717" s="255" t="s">
        <v>461</v>
      </c>
      <c r="D717" s="438" t="s">
        <v>1023</v>
      </c>
      <c r="E717" s="438" t="s">
        <v>1024</v>
      </c>
      <c r="F717" s="89"/>
      <c r="G717" s="89"/>
      <c r="H717" s="89"/>
      <c r="I717" s="89"/>
      <c r="J717" s="89"/>
      <c r="K717" s="89"/>
      <c r="L717" s="89"/>
      <c r="M717" s="89"/>
    </row>
    <row r="718" spans="2:13" ht="14.25">
      <c r="B718" s="437">
        <f t="shared" si="23"/>
        <v>65</v>
      </c>
      <c r="C718" s="255" t="s">
        <v>461</v>
      </c>
      <c r="D718" s="438" t="s">
        <v>1023</v>
      </c>
      <c r="E718" s="438" t="s">
        <v>1024</v>
      </c>
      <c r="F718" s="89"/>
      <c r="G718" s="89"/>
      <c r="H718" s="89"/>
      <c r="I718" s="89"/>
      <c r="J718" s="89"/>
      <c r="K718" s="89"/>
      <c r="L718" s="89"/>
      <c r="M718" s="89"/>
    </row>
    <row r="719" spans="2:13" ht="14.25">
      <c r="B719" s="437">
        <f t="shared" si="23"/>
        <v>66</v>
      </c>
      <c r="C719" s="255" t="s">
        <v>461</v>
      </c>
      <c r="D719" s="438" t="s">
        <v>1023</v>
      </c>
      <c r="E719" s="438" t="s">
        <v>1024</v>
      </c>
      <c r="F719" s="89"/>
      <c r="G719" s="89"/>
      <c r="H719" s="89"/>
      <c r="I719" s="89"/>
      <c r="J719" s="89"/>
      <c r="K719" s="89"/>
      <c r="L719" s="89"/>
      <c r="M719" s="89"/>
    </row>
    <row r="720" spans="2:13" ht="14.25">
      <c r="B720" s="437">
        <f t="shared" ref="B720:B733" si="24">1+B719</f>
        <v>67</v>
      </c>
      <c r="C720" s="255" t="s">
        <v>461</v>
      </c>
      <c r="D720" s="438" t="s">
        <v>1023</v>
      </c>
      <c r="E720" s="438" t="s">
        <v>1024</v>
      </c>
      <c r="F720" s="89"/>
      <c r="G720" s="89"/>
      <c r="H720" s="89"/>
      <c r="I720" s="89"/>
      <c r="J720" s="89"/>
      <c r="K720" s="89"/>
      <c r="L720" s="89"/>
      <c r="M720" s="89"/>
    </row>
    <row r="721" spans="2:13" ht="14.25">
      <c r="B721" s="437">
        <f t="shared" si="24"/>
        <v>68</v>
      </c>
      <c r="C721" s="255" t="s">
        <v>461</v>
      </c>
      <c r="D721" s="438" t="s">
        <v>1023</v>
      </c>
      <c r="E721" s="438" t="s">
        <v>1024</v>
      </c>
      <c r="F721" s="89"/>
      <c r="G721" s="89"/>
      <c r="H721" s="89"/>
      <c r="I721" s="89"/>
      <c r="J721" s="89"/>
      <c r="K721" s="89"/>
      <c r="L721" s="89"/>
      <c r="M721" s="89"/>
    </row>
    <row r="722" spans="2:13" ht="14.25">
      <c r="B722" s="437">
        <f t="shared" si="24"/>
        <v>69</v>
      </c>
      <c r="C722" s="255" t="s">
        <v>461</v>
      </c>
      <c r="D722" s="438" t="s">
        <v>1023</v>
      </c>
      <c r="E722" s="438" t="s">
        <v>1024</v>
      </c>
      <c r="F722" s="89"/>
      <c r="G722" s="89"/>
      <c r="H722" s="89"/>
      <c r="I722" s="89"/>
      <c r="J722" s="89"/>
      <c r="K722" s="89"/>
      <c r="L722" s="89"/>
      <c r="M722" s="89"/>
    </row>
    <row r="723" spans="2:13" ht="14.25">
      <c r="B723" s="437">
        <f t="shared" si="24"/>
        <v>70</v>
      </c>
      <c r="C723" s="255" t="s">
        <v>461</v>
      </c>
      <c r="D723" s="438" t="s">
        <v>1023</v>
      </c>
      <c r="E723" s="438" t="s">
        <v>1024</v>
      </c>
      <c r="F723" s="89"/>
      <c r="G723" s="89"/>
      <c r="H723" s="89"/>
      <c r="I723" s="89"/>
      <c r="J723" s="89"/>
      <c r="K723" s="89"/>
      <c r="L723" s="89"/>
      <c r="M723" s="89"/>
    </row>
    <row r="724" spans="2:13" ht="14.25">
      <c r="B724" s="437">
        <f t="shared" si="24"/>
        <v>71</v>
      </c>
      <c r="C724" s="255" t="s">
        <v>461</v>
      </c>
      <c r="D724" s="438" t="s">
        <v>1023</v>
      </c>
      <c r="E724" s="438" t="s">
        <v>1024</v>
      </c>
      <c r="F724" s="89"/>
      <c r="G724" s="89"/>
      <c r="H724" s="89"/>
      <c r="I724" s="89"/>
      <c r="J724" s="89"/>
      <c r="K724" s="89"/>
      <c r="L724" s="89"/>
      <c r="M724" s="89"/>
    </row>
    <row r="725" spans="2:13" ht="14.25">
      <c r="B725" s="437">
        <f t="shared" si="24"/>
        <v>72</v>
      </c>
      <c r="C725" s="255" t="s">
        <v>461</v>
      </c>
      <c r="D725" s="438" t="s">
        <v>1023</v>
      </c>
      <c r="E725" s="438" t="s">
        <v>1024</v>
      </c>
      <c r="F725" s="89"/>
      <c r="G725" s="89"/>
      <c r="H725" s="89"/>
      <c r="I725" s="89"/>
      <c r="J725" s="89"/>
      <c r="K725" s="89"/>
      <c r="L725" s="89"/>
      <c r="M725" s="89"/>
    </row>
    <row r="726" spans="2:13" ht="14.25">
      <c r="B726" s="437">
        <f t="shared" si="24"/>
        <v>73</v>
      </c>
      <c r="C726" s="255" t="s">
        <v>461</v>
      </c>
      <c r="D726" s="438" t="s">
        <v>1023</v>
      </c>
      <c r="E726" s="438" t="s">
        <v>1024</v>
      </c>
      <c r="F726" s="89"/>
      <c r="G726" s="89"/>
      <c r="H726" s="89"/>
      <c r="I726" s="89"/>
      <c r="J726" s="89"/>
      <c r="K726" s="89"/>
      <c r="L726" s="89"/>
      <c r="M726" s="89"/>
    </row>
    <row r="727" spans="2:13" ht="14.25">
      <c r="B727" s="437">
        <f t="shared" si="24"/>
        <v>74</v>
      </c>
      <c r="C727" s="255" t="s">
        <v>461</v>
      </c>
      <c r="D727" s="438" t="s">
        <v>1023</v>
      </c>
      <c r="E727" s="438" t="s">
        <v>1024</v>
      </c>
      <c r="F727" s="89"/>
      <c r="G727" s="89"/>
      <c r="H727" s="89"/>
      <c r="I727" s="89"/>
      <c r="J727" s="89"/>
      <c r="K727" s="89"/>
      <c r="L727" s="89"/>
      <c r="M727" s="89"/>
    </row>
    <row r="728" spans="2:13" ht="14.25">
      <c r="B728" s="437">
        <f t="shared" si="24"/>
        <v>75</v>
      </c>
      <c r="C728" s="255" t="s">
        <v>461</v>
      </c>
      <c r="D728" s="438" t="s">
        <v>1023</v>
      </c>
      <c r="E728" s="438" t="s">
        <v>1024</v>
      </c>
      <c r="F728" s="89"/>
      <c r="G728" s="89"/>
      <c r="H728" s="89"/>
      <c r="I728" s="89"/>
      <c r="J728" s="89"/>
      <c r="K728" s="89"/>
      <c r="L728" s="89"/>
      <c r="M728" s="89"/>
    </row>
    <row r="729" spans="2:13" ht="14.25">
      <c r="B729" s="437">
        <f t="shared" si="24"/>
        <v>76</v>
      </c>
      <c r="C729" s="255" t="s">
        <v>461</v>
      </c>
      <c r="D729" s="438" t="s">
        <v>1023</v>
      </c>
      <c r="E729" s="438" t="s">
        <v>1024</v>
      </c>
      <c r="F729" s="89"/>
      <c r="G729" s="89"/>
      <c r="H729" s="89"/>
      <c r="I729" s="89"/>
      <c r="J729" s="89"/>
      <c r="K729" s="89"/>
      <c r="L729" s="89"/>
      <c r="M729" s="89"/>
    </row>
    <row r="730" spans="2:13" ht="14.25">
      <c r="B730" s="437">
        <f t="shared" si="24"/>
        <v>77</v>
      </c>
      <c r="C730" s="255" t="s">
        <v>461</v>
      </c>
      <c r="D730" s="438" t="s">
        <v>1023</v>
      </c>
      <c r="E730" s="438" t="s">
        <v>1024</v>
      </c>
      <c r="F730" s="89"/>
      <c r="G730" s="89"/>
      <c r="H730" s="89"/>
      <c r="I730" s="89"/>
      <c r="J730" s="89"/>
      <c r="K730" s="89"/>
      <c r="L730" s="89"/>
      <c r="M730" s="89"/>
    </row>
    <row r="731" spans="2:13" ht="14.25">
      <c r="B731" s="437">
        <f t="shared" si="24"/>
        <v>78</v>
      </c>
      <c r="C731" s="255" t="s">
        <v>461</v>
      </c>
      <c r="D731" s="438" t="s">
        <v>1023</v>
      </c>
      <c r="E731" s="438" t="s">
        <v>1024</v>
      </c>
      <c r="F731" s="89"/>
      <c r="G731" s="89"/>
      <c r="H731" s="89"/>
      <c r="I731" s="89"/>
      <c r="J731" s="89"/>
      <c r="K731" s="89"/>
      <c r="L731" s="89"/>
      <c r="M731" s="89"/>
    </row>
    <row r="732" spans="2:13" ht="14.25">
      <c r="B732" s="437">
        <f t="shared" si="24"/>
        <v>79</v>
      </c>
      <c r="C732" s="255" t="s">
        <v>461</v>
      </c>
      <c r="D732" s="438" t="s">
        <v>1023</v>
      </c>
      <c r="E732" s="438" t="s">
        <v>1024</v>
      </c>
      <c r="F732" s="89"/>
      <c r="G732" s="89"/>
      <c r="H732" s="89"/>
      <c r="I732" s="89"/>
      <c r="J732" s="89"/>
      <c r="K732" s="89"/>
      <c r="L732" s="89"/>
      <c r="M732" s="89"/>
    </row>
    <row r="733" spans="2:13" ht="14.25">
      <c r="B733" s="437">
        <f t="shared" si="24"/>
        <v>80</v>
      </c>
      <c r="C733" s="255" t="s">
        <v>461</v>
      </c>
      <c r="D733" s="438" t="s">
        <v>1023</v>
      </c>
      <c r="E733" s="438" t="s">
        <v>1024</v>
      </c>
      <c r="F733" s="89"/>
      <c r="G733" s="89"/>
      <c r="H733" s="89"/>
      <c r="I733" s="89"/>
      <c r="J733" s="89"/>
      <c r="K733" s="89"/>
      <c r="L733" s="89"/>
      <c r="M733" s="89"/>
    </row>
    <row r="734" spans="2:13" ht="12">
      <c r="B734" s="251"/>
      <c r="C734" s="251" t="s">
        <v>998</v>
      </c>
      <c r="D734" s="251"/>
      <c r="E734" s="251"/>
      <c r="F734" s="251"/>
      <c r="G734" s="251"/>
      <c r="H734" s="251"/>
      <c r="I734" s="251"/>
      <c r="J734" s="251"/>
      <c r="K734" s="251"/>
    </row>
    <row r="735" spans="2:13" ht="12">
      <c r="B735" s="251"/>
      <c r="C735" t="s">
        <v>805</v>
      </c>
      <c r="D735" s="251"/>
      <c r="E735" s="251"/>
      <c r="F735" s="251"/>
      <c r="G735" s="251"/>
      <c r="H735" s="251"/>
      <c r="I735" s="251"/>
      <c r="J735" s="251"/>
      <c r="K735" s="251"/>
    </row>
    <row r="736" spans="2:13" ht="12">
      <c r="B736" s="251"/>
      <c r="D736" s="251"/>
      <c r="E736" s="251"/>
      <c r="F736" s="251"/>
      <c r="G736" s="251"/>
      <c r="H736" s="251"/>
      <c r="I736" s="251"/>
      <c r="J736" s="251"/>
      <c r="K736" s="251"/>
    </row>
    <row r="737" spans="1:76" ht="12"/>
    <row r="738" spans="1:76" ht="15.75">
      <c r="A738" s="570" t="s">
        <v>366</v>
      </c>
      <c r="B738" s="425" t="s">
        <v>300</v>
      </c>
      <c r="C738" s="425"/>
      <c r="D738" s="426"/>
      <c r="E738" s="426"/>
      <c r="F738" s="426"/>
      <c r="G738" s="426"/>
      <c r="H738" s="426"/>
      <c r="I738" s="426"/>
      <c r="J738" s="426"/>
      <c r="K738" s="426"/>
      <c r="L738" s="426"/>
      <c r="M738" s="426"/>
      <c r="N738" s="426"/>
      <c r="O738" s="426"/>
      <c r="P738" s="426"/>
      <c r="Q738" s="426"/>
      <c r="R738" s="426"/>
      <c r="S738" s="426"/>
      <c r="T738" s="426"/>
      <c r="U738" s="426"/>
      <c r="V738" s="426"/>
      <c r="W738" s="426"/>
      <c r="X738" s="426"/>
      <c r="Y738" s="426"/>
      <c r="Z738" s="426"/>
      <c r="AA738" s="426"/>
      <c r="AB738" s="426"/>
      <c r="AC738" s="426"/>
      <c r="AD738" s="426"/>
      <c r="AE738" s="426"/>
      <c r="AF738" s="426"/>
      <c r="AG738" s="426"/>
      <c r="AH738" s="426"/>
      <c r="AI738" s="426"/>
      <c r="AJ738" s="426"/>
      <c r="AK738" s="426"/>
      <c r="AL738" s="426"/>
      <c r="AM738" s="426"/>
      <c r="AN738" s="426"/>
      <c r="AO738" s="426"/>
      <c r="AP738" s="426"/>
      <c r="AQ738" s="426"/>
      <c r="AR738" s="426"/>
      <c r="AS738" s="426"/>
      <c r="AT738" s="426"/>
      <c r="AU738" s="426"/>
      <c r="AV738" s="426"/>
      <c r="AW738" s="426"/>
      <c r="AX738" s="426"/>
      <c r="AY738" s="426"/>
      <c r="AZ738" s="426"/>
      <c r="BA738" s="426"/>
      <c r="BB738" s="426"/>
      <c r="BC738" s="426"/>
      <c r="BD738" s="426"/>
      <c r="BE738" s="426"/>
      <c r="BF738" s="426"/>
      <c r="BG738" s="426"/>
      <c r="BH738" s="426"/>
      <c r="BI738" s="426"/>
      <c r="BJ738" s="426"/>
      <c r="BK738" s="426"/>
      <c r="BL738" s="426"/>
      <c r="BM738" s="426"/>
      <c r="BN738" s="426"/>
      <c r="BO738" s="426"/>
      <c r="BP738" s="426"/>
      <c r="BQ738" s="426"/>
      <c r="BR738" s="426"/>
      <c r="BS738" s="426"/>
      <c r="BT738" s="426"/>
      <c r="BU738" s="426"/>
      <c r="BV738" s="426"/>
      <c r="BW738" s="426"/>
      <c r="BX738" s="426"/>
    </row>
  </sheetData>
  <dataConsolidate link="1"/>
  <mergeCells count="35">
    <mergeCell ref="C474:C475"/>
    <mergeCell ref="D474:D475"/>
    <mergeCell ref="E474:E475"/>
    <mergeCell ref="F474:J474"/>
    <mergeCell ref="K474:O474"/>
    <mergeCell ref="F652:I652"/>
    <mergeCell ref="J652:M652"/>
    <mergeCell ref="X382:AF382"/>
    <mergeCell ref="AW382:AZ382"/>
    <mergeCell ref="BA382:BC382"/>
    <mergeCell ref="H382:I382"/>
    <mergeCell ref="J382:L382"/>
    <mergeCell ref="M382:N382"/>
    <mergeCell ref="O382:T382"/>
    <mergeCell ref="U382:W382"/>
    <mergeCell ref="BD382:BK382"/>
    <mergeCell ref="BL382:BR382"/>
    <mergeCell ref="BS382:BW382"/>
    <mergeCell ref="AW289:AZ289"/>
    <mergeCell ref="BA289:BC289"/>
    <mergeCell ref="BD289:BK289"/>
    <mergeCell ref="BL289:BR289"/>
    <mergeCell ref="BA381:BM381"/>
    <mergeCell ref="BA288:BM288"/>
    <mergeCell ref="X289:AF289"/>
    <mergeCell ref="C6:F6"/>
    <mergeCell ref="C95:F95"/>
    <mergeCell ref="C186:F186"/>
    <mergeCell ref="G187:H187"/>
    <mergeCell ref="I187:J187"/>
    <mergeCell ref="H289:I289"/>
    <mergeCell ref="J289:L289"/>
    <mergeCell ref="M289:N289"/>
    <mergeCell ref="O289:T289"/>
    <mergeCell ref="U289:W289"/>
  </mergeCells>
  <conditionalFormatting sqref="J8:L87">
    <cfRule type="expression" dxfId="15" priority="1">
      <formula>$I8="No"</formula>
    </cfRule>
  </conditionalFormatting>
  <conditionalFormatting sqref="J97:L176">
    <cfRule type="expression" dxfId="14" priority="2">
      <formula>$I97="No"</formula>
    </cfRule>
  </conditionalFormatting>
  <conditionalFormatting sqref="N8:AQ87 N97:AQ176">
    <cfRule type="expression" dxfId="13" priority="4">
      <formula>$M8="No"</formula>
    </cfRule>
  </conditionalFormatting>
  <conditionalFormatting sqref="R291:T368 R384:T461">
    <cfRule type="expression" dxfId="12" priority="7">
      <formula>$Q291="No"</formula>
    </cfRule>
  </conditionalFormatting>
  <conditionalFormatting sqref="AS8">
    <cfRule type="expression" dxfId="11" priority="15">
      <formula>$AR8="No"</formula>
    </cfRule>
  </conditionalFormatting>
  <conditionalFormatting sqref="AS97">
    <cfRule type="expression" dxfId="10" priority="13">
      <formula>$AR97="No"</formula>
    </cfRule>
  </conditionalFormatting>
  <conditionalFormatting sqref="AS8:AU87">
    <cfRule type="expression" dxfId="9" priority="12">
      <formula>$AR8="No"</formula>
    </cfRule>
  </conditionalFormatting>
  <conditionalFormatting sqref="AS9:AU9">
    <cfRule type="expression" dxfId="8" priority="16">
      <formula>$AR$9="No"</formula>
    </cfRule>
  </conditionalFormatting>
  <conditionalFormatting sqref="AS97:AU176">
    <cfRule type="expression" dxfId="7" priority="10">
      <formula>$AR97="No"</formula>
    </cfRule>
  </conditionalFormatting>
  <conditionalFormatting sqref="AS98:AU98">
    <cfRule type="expression" dxfId="6" priority="14">
      <formula>$AR$9="No"</formula>
    </cfRule>
  </conditionalFormatting>
  <conditionalFormatting sqref="AW8:AZ87">
    <cfRule type="expression" dxfId="5" priority="11">
      <formula>$AV8="No"</formula>
    </cfRule>
  </conditionalFormatting>
  <conditionalFormatting sqref="AW97:AZ176">
    <cfRule type="expression" dxfId="4" priority="9">
      <formula>$AV97="No"</formula>
    </cfRule>
  </conditionalFormatting>
  <conditionalFormatting sqref="BB291:BC368 BB384:BC461">
    <cfRule type="expression" dxfId="3" priority="3">
      <formula>$BA291="No"</formula>
    </cfRule>
  </conditionalFormatting>
  <conditionalFormatting sqref="BF291:BK368 BF384:BK461">
    <cfRule type="expression" dxfId="2" priority="8">
      <formula>$BD291="No"</formula>
    </cfRule>
  </conditionalFormatting>
  <conditionalFormatting sqref="BM291:BN368 BM384:BN461">
    <cfRule type="expression" dxfId="1" priority="6">
      <formula>$BL291="No"</formula>
    </cfRule>
  </conditionalFormatting>
  <conditionalFormatting sqref="BP291:BR368 BP384:BR461">
    <cfRule type="expression" dxfId="0" priority="5">
      <formula>$BO291="No"</formula>
    </cfRule>
  </conditionalFormatting>
  <dataValidations count="6">
    <dataValidation type="list" allowBlank="1" showInputMessage="1" showErrorMessage="1" sqref="U291:X368 BE291:BE368 U384:X461 BE384:BE461" xr:uid="{52FA5554-7E81-4A93-BAAF-45DD0EB55B28}">
      <formula1>netflix</formula1>
    </dataValidation>
    <dataValidation type="list" allowBlank="1" showInputMessage="1" showErrorMessage="1" sqref="F189:F271" xr:uid="{9BDC11F9-B901-49D4-9B68-6C0A53E28DCD}">
      <formula1>tipo.contraprestación</formula1>
    </dataValidation>
    <dataValidation type="list" allowBlank="1" showInputMessage="1" showErrorMessage="1" sqref="D291:D368 D97:D176 D384:D461 D8:D87" xr:uid="{227E1565-E20D-4C8E-89FD-20DE4F3D6C1A}">
      <formula1>modalidad</formula1>
    </dataValidation>
    <dataValidation type="list" allowBlank="1" showInputMessage="1" showErrorMessage="1" sqref="F97:F176 F8:F87" xr:uid="{8AF37D75-B927-4378-8237-6BDA4106C858}">
      <formula1>Tipo.Cobro</formula1>
    </dataValidation>
    <dataValidation type="list" allowBlank="1" showInputMessage="1" showErrorMessage="1" sqref="Y654:Y733 AE564:AE643 D654:D733 D189:D271 D564:D643 Z476:Z554 D476:D554" xr:uid="{87962A48-C3FA-4819-A720-9F03CA053A44}">
      <formula1>Tipo.Modalidad</formula1>
    </dataValidation>
    <dataValidation type="list" allowBlank="1" showInputMessage="1" showErrorMessage="1" sqref="E97:E176 E8:E87 E564:E643 AF564:AF643 E654:E733 Z654:Z733 E189:E271 AA476:AA554 E476:E554 E291:E368 E384:E461" xr:uid="{FD5E5F2E-B211-4800-ACDA-A7473A50CBB7}">
      <formula1>Tipo.Servicio</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8351-5B1C-48C1-8C7D-F50B8AAEB3BB}">
  <sheetPr>
    <tabColor theme="3" tint="0.499984740745262"/>
    <pageSetUpPr autoPageBreaks="0"/>
  </sheetPr>
  <dimension ref="A1:AT531"/>
  <sheetViews>
    <sheetView showGridLines="0" defaultGridColor="0" colorId="22" zoomScaleNormal="100" workbookViewId="0">
      <pane ySplit="1" topLeftCell="A2" activePane="bottomLeft" state="frozen"/>
      <selection activeCell="D111" sqref="D111"/>
      <selection pane="bottomLeft" sqref="A1:XFD1048576"/>
    </sheetView>
  </sheetViews>
  <sheetFormatPr baseColWidth="10" defaultColWidth="12.7109375" defaultRowHeight="11.45" customHeight="1" outlineLevelRow="1"/>
  <cols>
    <col min="1" max="1" width="6.7109375" customWidth="1"/>
    <col min="3" max="3" width="44.7109375" customWidth="1"/>
    <col min="4" max="4" width="19.42578125" customWidth="1"/>
    <col min="5" max="5" width="17.7109375" bestFit="1" customWidth="1"/>
    <col min="6" max="6" width="33.28515625" customWidth="1"/>
    <col min="7" max="7" width="39" customWidth="1"/>
    <col min="8" max="8" width="23.140625" customWidth="1"/>
    <col min="9" max="9" width="35.42578125" customWidth="1"/>
    <col min="10" max="10" width="23.42578125" customWidth="1"/>
    <col min="11" max="12" width="20.28515625" customWidth="1"/>
    <col min="13" max="13" width="19.28515625" customWidth="1"/>
    <col min="14" max="17" width="14" customWidth="1"/>
    <col min="18" max="18" width="19.7109375" customWidth="1"/>
    <col min="19" max="19" width="16.5703125" customWidth="1"/>
    <col min="20" max="21" width="17" customWidth="1"/>
    <col min="22" max="22" width="17" bestFit="1" customWidth="1"/>
    <col min="23" max="23" width="16" bestFit="1" customWidth="1"/>
    <col min="24" max="24" width="25.42578125" customWidth="1"/>
    <col min="25" max="25" width="17.7109375" customWidth="1"/>
    <col min="27" max="27" width="19.42578125" customWidth="1"/>
    <col min="28" max="28" width="16.140625" customWidth="1"/>
    <col min="29" max="29" width="20.85546875" customWidth="1"/>
    <col min="31" max="31" width="19.5703125" customWidth="1"/>
  </cols>
  <sheetData>
    <row r="1" spans="1:46" ht="33.75" customHeight="1">
      <c r="A1" s="424"/>
      <c r="B1" s="84"/>
      <c r="C1" s="84"/>
      <c r="D1" s="84" t="s">
        <v>1035</v>
      </c>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row>
    <row r="2" spans="1:46" ht="12">
      <c r="A2" s="251"/>
    </row>
    <row r="3" spans="1:46" ht="15.75">
      <c r="A3" s="425">
        <v>7</v>
      </c>
      <c r="B3" s="425" t="s">
        <v>1036</v>
      </c>
      <c r="C3" s="425"/>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row>
    <row r="4" spans="1:46" ht="12">
      <c r="C4" s="251"/>
    </row>
    <row r="5" spans="1:46" ht="12">
      <c r="C5" s="251"/>
    </row>
    <row r="6" spans="1:46" ht="15.75">
      <c r="B6" s="251"/>
      <c r="C6" s="9" t="s">
        <v>1036</v>
      </c>
    </row>
    <row r="7" spans="1:46" ht="12">
      <c r="B7" s="251"/>
      <c r="C7" t="s">
        <v>1037</v>
      </c>
    </row>
    <row r="8" spans="1:46" ht="12">
      <c r="B8" s="251"/>
      <c r="C8" s="488" t="s">
        <v>1038</v>
      </c>
    </row>
    <row r="9" spans="1:46" ht="12.75">
      <c r="B9" s="251"/>
      <c r="C9" s="451" t="s">
        <v>874</v>
      </c>
      <c r="D9" s="452"/>
      <c r="E9" s="452"/>
      <c r="F9" s="452"/>
      <c r="G9" s="453"/>
    </row>
    <row r="10" spans="1:46" ht="12.75">
      <c r="B10" s="251"/>
      <c r="C10" s="451" t="s">
        <v>875</v>
      </c>
      <c r="D10" s="452"/>
      <c r="E10" s="452"/>
      <c r="F10" s="452"/>
      <c r="G10" s="453"/>
    </row>
    <row r="11" spans="1:46" ht="12.75">
      <c r="B11" s="251"/>
      <c r="C11" s="451" t="s">
        <v>1039</v>
      </c>
      <c r="D11" s="452"/>
      <c r="E11" s="452"/>
      <c r="F11" s="452"/>
      <c r="G11" s="453"/>
    </row>
    <row r="12" spans="1:46" ht="12">
      <c r="B12" s="251"/>
      <c r="C12" s="488" t="s">
        <v>1040</v>
      </c>
    </row>
    <row r="13" spans="1:46" ht="12">
      <c r="B13" s="251"/>
      <c r="C13" s="488" t="s">
        <v>1041</v>
      </c>
    </row>
    <row r="14" spans="1:46" ht="12">
      <c r="B14" s="251"/>
      <c r="C14" s="488"/>
    </row>
    <row r="15" spans="1:46" ht="12">
      <c r="B15" s="251"/>
      <c r="C15" s="96" t="s">
        <v>877</v>
      </c>
    </row>
    <row r="16" spans="1:46" ht="12">
      <c r="B16" s="251"/>
      <c r="C16" s="427">
        <v>2023</v>
      </c>
      <c r="D16" s="96" t="s">
        <v>1042</v>
      </c>
    </row>
    <row r="17" spans="2:23" ht="12">
      <c r="B17" s="251"/>
      <c r="C17" s="488"/>
    </row>
    <row r="18" spans="2:23" ht="15.75">
      <c r="B18" s="251"/>
      <c r="C18" s="489" t="s">
        <v>874</v>
      </c>
      <c r="D18" s="452"/>
      <c r="E18" s="452"/>
      <c r="F18" s="452"/>
      <c r="G18" s="453"/>
    </row>
    <row r="19" spans="2:23" ht="12">
      <c r="B19" s="251"/>
    </row>
    <row r="20" spans="2:23" ht="24">
      <c r="B20" s="251"/>
      <c r="C20" s="266" t="s">
        <v>1043</v>
      </c>
      <c r="E20" s="490" t="s">
        <v>1044</v>
      </c>
      <c r="F20" s="556" t="s">
        <v>1045</v>
      </c>
      <c r="G20" s="557"/>
      <c r="H20" s="557"/>
      <c r="I20" s="558"/>
      <c r="J20" s="559" t="s">
        <v>1046</v>
      </c>
      <c r="K20" s="559"/>
      <c r="L20" s="491" t="s">
        <v>1047</v>
      </c>
      <c r="M20" s="492" t="s">
        <v>1048</v>
      </c>
      <c r="N20" s="556" t="s">
        <v>1049</v>
      </c>
      <c r="O20" s="557"/>
      <c r="P20" s="557"/>
      <c r="Q20" s="557"/>
      <c r="R20" s="557"/>
      <c r="S20" s="557"/>
      <c r="T20" s="557"/>
      <c r="U20" s="558"/>
      <c r="V20" s="490" t="s">
        <v>1050</v>
      </c>
      <c r="W20" s="490"/>
    </row>
    <row r="21" spans="2:23" ht="48">
      <c r="B21" s="251"/>
      <c r="C21" s="430" t="s">
        <v>461</v>
      </c>
      <c r="D21" s="480" t="s">
        <v>762</v>
      </c>
      <c r="E21" s="480" t="s">
        <v>1044</v>
      </c>
      <c r="F21" s="480" t="s">
        <v>1051</v>
      </c>
      <c r="G21" s="480" t="s">
        <v>1052</v>
      </c>
      <c r="H21" s="480" t="s">
        <v>1053</v>
      </c>
      <c r="I21" s="493" t="s">
        <v>1054</v>
      </c>
      <c r="J21" s="430" t="s">
        <v>1046</v>
      </c>
      <c r="K21" s="430" t="s">
        <v>1055</v>
      </c>
      <c r="L21" s="480" t="s">
        <v>739</v>
      </c>
      <c r="M21" s="480" t="s">
        <v>1056</v>
      </c>
      <c r="N21" s="480" t="s">
        <v>1057</v>
      </c>
      <c r="O21" s="480" t="s">
        <v>1058</v>
      </c>
      <c r="P21" s="480" t="s">
        <v>1059</v>
      </c>
      <c r="Q21" s="480" t="s">
        <v>1060</v>
      </c>
      <c r="R21" s="480" t="s">
        <v>1061</v>
      </c>
      <c r="S21" s="480" t="s">
        <v>1062</v>
      </c>
      <c r="T21" s="480" t="s">
        <v>1063</v>
      </c>
      <c r="U21" s="480" t="s">
        <v>1064</v>
      </c>
      <c r="V21" s="480" t="s">
        <v>1065</v>
      </c>
      <c r="W21" s="480" t="s">
        <v>1066</v>
      </c>
    </row>
    <row r="22" spans="2:23" ht="14.25">
      <c r="B22" s="437">
        <v>1</v>
      </c>
      <c r="C22" s="255" t="s">
        <v>174</v>
      </c>
      <c r="D22" s="494">
        <v>300.86</v>
      </c>
      <c r="E22" s="495">
        <v>0</v>
      </c>
      <c r="F22" s="483">
        <v>0</v>
      </c>
      <c r="G22" s="483">
        <v>0</v>
      </c>
      <c r="H22" s="483">
        <v>0</v>
      </c>
      <c r="I22" s="483">
        <v>0</v>
      </c>
      <c r="J22" s="487">
        <v>0</v>
      </c>
      <c r="K22" s="487">
        <v>246</v>
      </c>
      <c r="L22" s="89"/>
      <c r="M22" s="89"/>
      <c r="N22" s="89"/>
      <c r="O22" s="89"/>
      <c r="P22" s="89"/>
      <c r="Q22" s="89"/>
      <c r="R22" s="89"/>
      <c r="S22" s="89"/>
      <c r="T22" s="89"/>
      <c r="U22" s="89"/>
      <c r="V22" s="89"/>
      <c r="W22" s="89"/>
    </row>
    <row r="23" spans="2:23" ht="14.25">
      <c r="B23" s="437">
        <f>1+B22</f>
        <v>2</v>
      </c>
      <c r="C23" s="255" t="s">
        <v>185</v>
      </c>
      <c r="D23" s="494">
        <v>775</v>
      </c>
      <c r="E23" s="495">
        <v>0</v>
      </c>
      <c r="F23" s="483">
        <v>0</v>
      </c>
      <c r="G23" s="483">
        <v>0</v>
      </c>
      <c r="H23" s="483">
        <v>0</v>
      </c>
      <c r="I23" s="483">
        <v>0</v>
      </c>
      <c r="J23" s="483">
        <v>0</v>
      </c>
      <c r="K23" s="483">
        <v>891</v>
      </c>
      <c r="L23" s="89"/>
      <c r="M23" s="89"/>
      <c r="N23" s="89"/>
      <c r="O23" s="89"/>
      <c r="P23" s="89"/>
      <c r="Q23" s="89"/>
      <c r="R23" s="89"/>
      <c r="S23" s="89"/>
      <c r="T23" s="89"/>
      <c r="U23" s="89"/>
      <c r="V23" s="89"/>
      <c r="W23" s="89"/>
    </row>
    <row r="24" spans="2:23" ht="14.25">
      <c r="B24" s="437">
        <f t="shared" ref="B24:B87" si="0">1+B23</f>
        <v>3</v>
      </c>
      <c r="C24" s="255" t="s">
        <v>178</v>
      </c>
      <c r="D24" s="494">
        <v>343.97</v>
      </c>
      <c r="E24" s="495">
        <v>0</v>
      </c>
      <c r="F24" s="483">
        <v>0</v>
      </c>
      <c r="G24" s="483">
        <v>0</v>
      </c>
      <c r="H24" s="483">
        <v>0</v>
      </c>
      <c r="I24" s="483">
        <v>0</v>
      </c>
      <c r="J24" s="483">
        <v>0</v>
      </c>
      <c r="K24" s="483">
        <v>246</v>
      </c>
      <c r="L24" s="89"/>
      <c r="M24" s="89"/>
      <c r="N24" s="89"/>
      <c r="O24" s="89"/>
      <c r="P24" s="89"/>
      <c r="Q24" s="89"/>
      <c r="R24" s="89"/>
      <c r="S24" s="89"/>
      <c r="T24" s="89"/>
      <c r="U24" s="89"/>
      <c r="V24" s="89"/>
      <c r="W24" s="89"/>
    </row>
    <row r="25" spans="2:23" ht="14.25">
      <c r="B25" s="437">
        <f t="shared" si="0"/>
        <v>4</v>
      </c>
      <c r="C25" s="255" t="s">
        <v>181</v>
      </c>
      <c r="D25" s="494">
        <v>387.07</v>
      </c>
      <c r="E25" s="495">
        <v>0</v>
      </c>
      <c r="F25" s="483">
        <v>0</v>
      </c>
      <c r="G25" s="483">
        <v>0</v>
      </c>
      <c r="H25" s="483">
        <v>0</v>
      </c>
      <c r="I25" s="483">
        <v>0</v>
      </c>
      <c r="J25" s="483">
        <v>380</v>
      </c>
      <c r="K25" s="483">
        <v>0</v>
      </c>
      <c r="L25" s="89"/>
      <c r="M25" s="89"/>
      <c r="N25" s="89"/>
      <c r="O25" s="89"/>
      <c r="P25" s="89"/>
      <c r="Q25" s="89"/>
      <c r="R25" s="89"/>
      <c r="S25" s="89"/>
      <c r="T25" s="89"/>
      <c r="U25" s="89"/>
      <c r="V25" s="89"/>
      <c r="W25" s="89"/>
    </row>
    <row r="26" spans="2:23" ht="14.25">
      <c r="B26" s="437">
        <f t="shared" si="0"/>
        <v>5</v>
      </c>
      <c r="C26" s="255" t="s">
        <v>183</v>
      </c>
      <c r="D26" s="494">
        <v>473.28</v>
      </c>
      <c r="E26" s="495">
        <v>0</v>
      </c>
      <c r="F26" s="483">
        <v>0</v>
      </c>
      <c r="G26" s="483">
        <v>0</v>
      </c>
      <c r="H26" s="483">
        <v>0</v>
      </c>
      <c r="I26" s="483">
        <v>0</v>
      </c>
      <c r="J26" s="483">
        <v>0</v>
      </c>
      <c r="K26" s="483">
        <v>341</v>
      </c>
      <c r="L26" s="89"/>
      <c r="M26" s="89"/>
      <c r="N26" s="89"/>
      <c r="O26" s="89"/>
      <c r="P26" s="89"/>
      <c r="Q26" s="89"/>
      <c r="R26" s="89"/>
      <c r="S26" s="89"/>
      <c r="T26" s="89"/>
      <c r="U26" s="89"/>
      <c r="V26" s="89"/>
      <c r="W26" s="89"/>
    </row>
    <row r="27" spans="2:23" ht="14.25">
      <c r="B27" s="437">
        <f t="shared" si="0"/>
        <v>6</v>
      </c>
      <c r="C27" s="255" t="s">
        <v>167</v>
      </c>
      <c r="D27" s="494">
        <v>240.52</v>
      </c>
      <c r="E27" s="495">
        <v>0</v>
      </c>
      <c r="F27" s="483">
        <v>0</v>
      </c>
      <c r="G27" s="483">
        <v>0</v>
      </c>
      <c r="H27" s="483">
        <v>0</v>
      </c>
      <c r="I27" s="483">
        <v>0</v>
      </c>
      <c r="J27" s="483">
        <v>273</v>
      </c>
      <c r="K27" s="483">
        <v>0</v>
      </c>
      <c r="L27" s="89"/>
      <c r="M27" s="89"/>
      <c r="N27" s="89"/>
      <c r="O27" s="89"/>
      <c r="P27" s="89"/>
      <c r="Q27" s="89"/>
      <c r="R27" s="89"/>
      <c r="S27" s="89"/>
      <c r="T27" s="89"/>
      <c r="U27" s="89"/>
      <c r="V27" s="89"/>
      <c r="W27" s="89"/>
    </row>
    <row r="28" spans="2:23" ht="14.25">
      <c r="B28" s="437">
        <f t="shared" si="0"/>
        <v>7</v>
      </c>
      <c r="C28" s="126" t="s">
        <v>170</v>
      </c>
      <c r="D28" s="494">
        <v>257.76</v>
      </c>
      <c r="E28" s="495">
        <v>0</v>
      </c>
      <c r="F28" s="483">
        <v>0</v>
      </c>
      <c r="G28" s="483">
        <v>0</v>
      </c>
      <c r="H28" s="483">
        <v>0</v>
      </c>
      <c r="I28" s="483">
        <v>0</v>
      </c>
      <c r="J28" s="483">
        <v>306</v>
      </c>
      <c r="K28" s="483">
        <v>0</v>
      </c>
      <c r="L28" s="89"/>
      <c r="M28" s="89"/>
      <c r="N28" s="89"/>
      <c r="O28" s="89"/>
      <c r="P28" s="89"/>
      <c r="Q28" s="89"/>
      <c r="R28" s="89"/>
      <c r="S28" s="89"/>
      <c r="T28" s="89"/>
      <c r="U28" s="89"/>
      <c r="V28" s="89"/>
      <c r="W28" s="89"/>
    </row>
    <row r="29" spans="2:23" ht="14.25">
      <c r="B29" s="437">
        <f t="shared" si="0"/>
        <v>8</v>
      </c>
      <c r="C29" s="126" t="s">
        <v>188</v>
      </c>
      <c r="D29" s="494">
        <v>257.76</v>
      </c>
      <c r="E29" s="495">
        <v>0</v>
      </c>
      <c r="F29" s="483">
        <v>0</v>
      </c>
      <c r="G29" s="483">
        <v>0</v>
      </c>
      <c r="H29" s="483">
        <v>0</v>
      </c>
      <c r="I29" s="483">
        <v>0</v>
      </c>
      <c r="J29" s="483">
        <v>232</v>
      </c>
      <c r="K29" s="483">
        <v>0</v>
      </c>
      <c r="L29" s="89"/>
      <c r="M29" s="89"/>
      <c r="N29" s="89"/>
      <c r="O29" s="89"/>
      <c r="P29" s="89"/>
      <c r="Q29" s="89"/>
      <c r="R29" s="89"/>
      <c r="S29" s="89"/>
      <c r="T29" s="89"/>
      <c r="U29" s="89"/>
      <c r="V29" s="89"/>
      <c r="W29" s="89"/>
    </row>
    <row r="30" spans="2:23" ht="14.25">
      <c r="B30" s="437">
        <f t="shared" si="0"/>
        <v>9</v>
      </c>
      <c r="C30" s="255" t="s">
        <v>190</v>
      </c>
      <c r="D30" s="494">
        <v>300.86</v>
      </c>
      <c r="E30" s="495">
        <v>0</v>
      </c>
      <c r="F30" s="483">
        <v>0</v>
      </c>
      <c r="G30" s="483">
        <v>0</v>
      </c>
      <c r="H30" s="483">
        <v>0</v>
      </c>
      <c r="I30" s="483">
        <v>0</v>
      </c>
      <c r="J30" s="483">
        <v>0</v>
      </c>
      <c r="K30" s="483">
        <v>384</v>
      </c>
      <c r="L30" s="89"/>
      <c r="M30" s="89"/>
      <c r="N30" s="89"/>
      <c r="O30" s="89"/>
      <c r="P30" s="89"/>
      <c r="Q30" s="89"/>
      <c r="R30" s="89"/>
      <c r="S30" s="89"/>
      <c r="T30" s="89"/>
      <c r="U30" s="89"/>
      <c r="V30" s="89"/>
      <c r="W30" s="89"/>
    </row>
    <row r="31" spans="2:23" ht="14.25" outlineLevel="1">
      <c r="B31" s="437">
        <f t="shared" si="0"/>
        <v>10</v>
      </c>
      <c r="C31" s="255" t="s">
        <v>192</v>
      </c>
      <c r="D31" s="494">
        <v>343.97</v>
      </c>
      <c r="E31" s="495">
        <v>0</v>
      </c>
      <c r="F31" s="483">
        <v>0</v>
      </c>
      <c r="G31" s="483">
        <v>0</v>
      </c>
      <c r="H31" s="483">
        <v>0</v>
      </c>
      <c r="I31" s="483">
        <v>0</v>
      </c>
      <c r="J31" s="483">
        <v>303</v>
      </c>
      <c r="K31" s="483">
        <v>0</v>
      </c>
      <c r="L31" s="89"/>
      <c r="M31" s="89"/>
      <c r="N31" s="89"/>
      <c r="O31" s="89"/>
      <c r="P31" s="89"/>
      <c r="Q31" s="89"/>
      <c r="R31" s="89"/>
      <c r="S31" s="89"/>
      <c r="T31" s="89"/>
      <c r="U31" s="89"/>
      <c r="V31" s="89"/>
      <c r="W31" s="89"/>
    </row>
    <row r="32" spans="2:23" ht="14.25" outlineLevel="1">
      <c r="B32" s="437">
        <f t="shared" si="0"/>
        <v>11</v>
      </c>
      <c r="C32" s="255" t="s">
        <v>193</v>
      </c>
      <c r="D32" s="494">
        <v>387.07</v>
      </c>
      <c r="E32" s="495">
        <v>0</v>
      </c>
      <c r="F32" s="483">
        <v>0</v>
      </c>
      <c r="G32" s="483">
        <v>0</v>
      </c>
      <c r="H32" s="483">
        <v>0</v>
      </c>
      <c r="I32" s="483">
        <v>0</v>
      </c>
      <c r="J32" s="483">
        <v>302</v>
      </c>
      <c r="K32" s="483">
        <v>0</v>
      </c>
      <c r="L32" s="89"/>
      <c r="M32" s="89"/>
      <c r="N32" s="89"/>
      <c r="O32" s="89"/>
      <c r="P32" s="89"/>
      <c r="Q32" s="89"/>
      <c r="R32" s="89"/>
      <c r="S32" s="89"/>
      <c r="T32" s="89"/>
      <c r="U32" s="89"/>
      <c r="V32" s="89"/>
      <c r="W32" s="89"/>
    </row>
    <row r="33" spans="2:23" ht="14.25" outlineLevel="1">
      <c r="B33" s="437">
        <f t="shared" si="0"/>
        <v>12</v>
      </c>
      <c r="C33" s="255" t="s">
        <v>194</v>
      </c>
      <c r="D33" s="494">
        <v>473.28</v>
      </c>
      <c r="E33" s="495">
        <v>0</v>
      </c>
      <c r="F33" s="483">
        <v>0</v>
      </c>
      <c r="G33" s="483">
        <v>0</v>
      </c>
      <c r="H33" s="483">
        <v>0</v>
      </c>
      <c r="I33" s="483">
        <v>0</v>
      </c>
      <c r="J33" s="483">
        <v>0</v>
      </c>
      <c r="K33" s="483">
        <v>455</v>
      </c>
      <c r="L33" s="89"/>
      <c r="M33" s="89"/>
      <c r="N33" s="89"/>
      <c r="O33" s="89"/>
      <c r="P33" s="89"/>
      <c r="Q33" s="89"/>
      <c r="R33" s="89"/>
      <c r="S33" s="89"/>
      <c r="T33" s="89"/>
      <c r="U33" s="89"/>
      <c r="V33" s="89"/>
      <c r="W33" s="89"/>
    </row>
    <row r="34" spans="2:23" ht="14.25" outlineLevel="1">
      <c r="B34" s="437">
        <f t="shared" si="0"/>
        <v>13</v>
      </c>
      <c r="C34" s="255" t="s">
        <v>196</v>
      </c>
      <c r="D34" s="494">
        <v>775</v>
      </c>
      <c r="E34" s="495">
        <v>0</v>
      </c>
      <c r="F34" s="483">
        <v>0</v>
      </c>
      <c r="G34" s="483">
        <v>0</v>
      </c>
      <c r="H34" s="483">
        <v>0</v>
      </c>
      <c r="I34" s="483">
        <v>0</v>
      </c>
      <c r="J34" s="483">
        <v>0</v>
      </c>
      <c r="K34" s="483">
        <v>934</v>
      </c>
      <c r="L34" s="89"/>
      <c r="M34" s="89"/>
      <c r="N34" s="89"/>
      <c r="O34" s="89"/>
      <c r="P34" s="89"/>
      <c r="Q34" s="89"/>
      <c r="R34" s="89"/>
      <c r="S34" s="89"/>
      <c r="T34" s="89"/>
      <c r="U34" s="89"/>
      <c r="V34" s="89"/>
      <c r="W34" s="89"/>
    </row>
    <row r="35" spans="2:23" ht="14.25" outlineLevel="1">
      <c r="B35" s="437">
        <f t="shared" si="0"/>
        <v>14</v>
      </c>
      <c r="C35" s="255" t="s">
        <v>166</v>
      </c>
      <c r="D35" s="494">
        <v>210.24</v>
      </c>
      <c r="E35" s="495">
        <v>176</v>
      </c>
      <c r="F35" s="483">
        <v>0</v>
      </c>
      <c r="G35" s="483">
        <v>0</v>
      </c>
      <c r="H35" s="483">
        <v>0</v>
      </c>
      <c r="I35" s="483">
        <v>0</v>
      </c>
      <c r="J35" s="483">
        <v>54</v>
      </c>
      <c r="K35" s="483">
        <v>0</v>
      </c>
      <c r="L35" s="89"/>
      <c r="M35" s="89"/>
      <c r="N35" s="89"/>
      <c r="O35" s="89"/>
      <c r="P35" s="89"/>
      <c r="Q35" s="89"/>
      <c r="R35" s="89"/>
      <c r="S35" s="89"/>
      <c r="T35" s="89"/>
      <c r="U35" s="89"/>
      <c r="V35" s="89"/>
      <c r="W35" s="89"/>
    </row>
    <row r="36" spans="2:23" ht="14.25" outlineLevel="1">
      <c r="B36" s="437">
        <f t="shared" si="0"/>
        <v>15</v>
      </c>
      <c r="C36" s="255" t="s">
        <v>169</v>
      </c>
      <c r="D36" s="494">
        <v>244.01</v>
      </c>
      <c r="E36" s="495">
        <v>180</v>
      </c>
      <c r="F36" s="483">
        <v>6</v>
      </c>
      <c r="G36" s="483">
        <v>0</v>
      </c>
      <c r="H36" s="483">
        <v>0</v>
      </c>
      <c r="I36" s="483">
        <v>0</v>
      </c>
      <c r="J36" s="483">
        <v>86</v>
      </c>
      <c r="K36" s="483">
        <v>0</v>
      </c>
      <c r="L36" s="89"/>
      <c r="M36" s="89"/>
      <c r="N36" s="89"/>
      <c r="O36" s="89"/>
      <c r="P36" s="89"/>
      <c r="Q36" s="89"/>
      <c r="R36" s="89"/>
      <c r="S36" s="89"/>
      <c r="T36" s="89"/>
      <c r="U36" s="89"/>
      <c r="V36" s="89"/>
      <c r="W36" s="89"/>
    </row>
    <row r="37" spans="2:23" ht="14.25" outlineLevel="1">
      <c r="B37" s="437">
        <f t="shared" si="0"/>
        <v>16</v>
      </c>
      <c r="C37" s="255" t="s">
        <v>180</v>
      </c>
      <c r="D37" s="494">
        <v>367.29</v>
      </c>
      <c r="E37" s="495">
        <v>190</v>
      </c>
      <c r="F37" s="483">
        <v>16</v>
      </c>
      <c r="G37" s="483">
        <v>4</v>
      </c>
      <c r="H37" s="483">
        <v>1</v>
      </c>
      <c r="I37" s="483">
        <v>14</v>
      </c>
      <c r="J37" s="483">
        <v>0</v>
      </c>
      <c r="K37" s="483">
        <v>141</v>
      </c>
      <c r="L37" s="89"/>
      <c r="M37" s="89"/>
      <c r="N37" s="89"/>
      <c r="O37" s="89"/>
      <c r="P37" s="89"/>
      <c r="Q37" s="89"/>
      <c r="R37" s="89"/>
      <c r="S37" s="89"/>
      <c r="T37" s="89"/>
      <c r="U37" s="89"/>
      <c r="V37" s="89"/>
      <c r="W37" s="89"/>
    </row>
    <row r="38" spans="2:23" ht="14.25" outlineLevel="1">
      <c r="B38" s="437">
        <f t="shared" si="0"/>
        <v>17</v>
      </c>
      <c r="C38" s="255" t="s">
        <v>182</v>
      </c>
      <c r="D38" s="494">
        <v>421.32</v>
      </c>
      <c r="E38" s="495">
        <v>187</v>
      </c>
      <c r="F38" s="483">
        <v>11</v>
      </c>
      <c r="G38" s="483">
        <v>3</v>
      </c>
      <c r="H38" s="483">
        <v>1</v>
      </c>
      <c r="I38" s="483">
        <v>21</v>
      </c>
      <c r="J38" s="483">
        <v>296</v>
      </c>
      <c r="K38" s="483">
        <v>0</v>
      </c>
      <c r="L38" s="89"/>
      <c r="M38" s="89"/>
      <c r="N38" s="89"/>
      <c r="O38" s="89"/>
      <c r="P38" s="89"/>
      <c r="Q38" s="89"/>
      <c r="R38" s="89"/>
      <c r="S38" s="89"/>
      <c r="T38" s="89"/>
      <c r="U38" s="89"/>
      <c r="V38" s="89"/>
      <c r="W38" s="89"/>
    </row>
    <row r="39" spans="2:23" ht="14.25" outlineLevel="1">
      <c r="B39" s="437">
        <f t="shared" si="0"/>
        <v>18</v>
      </c>
      <c r="C39" s="255" t="s">
        <v>184</v>
      </c>
      <c r="D39" s="494">
        <v>505.76</v>
      </c>
      <c r="E39" s="495">
        <v>134</v>
      </c>
      <c r="F39" s="483">
        <v>16</v>
      </c>
      <c r="G39" s="483">
        <v>9</v>
      </c>
      <c r="H39" s="483">
        <v>3</v>
      </c>
      <c r="I39" s="483">
        <v>14</v>
      </c>
      <c r="J39" s="483">
        <v>277</v>
      </c>
      <c r="K39" s="483">
        <v>0</v>
      </c>
      <c r="L39" s="89"/>
      <c r="M39" s="89"/>
      <c r="N39" s="89"/>
      <c r="O39" s="89"/>
      <c r="P39" s="89"/>
      <c r="Q39" s="89"/>
      <c r="R39" s="89"/>
      <c r="S39" s="89"/>
      <c r="T39" s="89"/>
      <c r="U39" s="89"/>
      <c r="V39" s="89"/>
      <c r="W39" s="89"/>
    </row>
    <row r="40" spans="2:23" ht="14.25" outlineLevel="1">
      <c r="B40" s="437">
        <f t="shared" si="0"/>
        <v>19</v>
      </c>
      <c r="C40" s="255" t="s">
        <v>187</v>
      </c>
      <c r="D40" s="494">
        <v>547.98</v>
      </c>
      <c r="E40" s="495">
        <v>111</v>
      </c>
      <c r="F40" s="483">
        <v>23</v>
      </c>
      <c r="G40" s="483">
        <v>9</v>
      </c>
      <c r="H40" s="483">
        <v>2</v>
      </c>
      <c r="I40" s="483">
        <v>17</v>
      </c>
      <c r="J40" s="483">
        <v>0</v>
      </c>
      <c r="K40" s="483">
        <v>330</v>
      </c>
      <c r="L40" s="89"/>
      <c r="M40" s="89"/>
      <c r="N40" s="89"/>
      <c r="O40" s="89"/>
      <c r="P40" s="89"/>
      <c r="Q40" s="89"/>
      <c r="R40" s="89"/>
      <c r="S40" s="89"/>
      <c r="T40" s="89"/>
      <c r="U40" s="89"/>
      <c r="V40" s="89"/>
      <c r="W40" s="89"/>
    </row>
    <row r="41" spans="2:23" ht="14.25" outlineLevel="1">
      <c r="B41" s="437">
        <f t="shared" si="0"/>
        <v>20</v>
      </c>
      <c r="C41" s="255" t="s">
        <v>177</v>
      </c>
      <c r="D41" s="494">
        <v>328.44</v>
      </c>
      <c r="E41" s="495">
        <v>145</v>
      </c>
      <c r="F41" s="483">
        <v>11</v>
      </c>
      <c r="G41" s="483">
        <v>5</v>
      </c>
      <c r="H41" s="483">
        <v>1</v>
      </c>
      <c r="I41" s="483">
        <v>14</v>
      </c>
      <c r="J41" s="483">
        <v>0</v>
      </c>
      <c r="K41" s="483">
        <v>148</v>
      </c>
      <c r="L41" s="89"/>
      <c r="M41" s="89"/>
      <c r="N41" s="89"/>
      <c r="O41" s="89"/>
      <c r="P41" s="89"/>
      <c r="Q41" s="89"/>
      <c r="R41" s="89"/>
      <c r="S41" s="89"/>
      <c r="T41" s="89"/>
      <c r="U41" s="89"/>
      <c r="V41" s="89"/>
      <c r="W41" s="89"/>
    </row>
    <row r="42" spans="2:23" ht="14.25" outlineLevel="1">
      <c r="B42" s="437">
        <f t="shared" si="0"/>
        <v>21</v>
      </c>
      <c r="C42" s="255" t="s">
        <v>195</v>
      </c>
      <c r="D42" s="494">
        <v>336.9</v>
      </c>
      <c r="E42" s="495">
        <v>165</v>
      </c>
      <c r="F42" s="483">
        <v>19</v>
      </c>
      <c r="G42" s="483">
        <v>1</v>
      </c>
      <c r="H42" s="483">
        <v>1</v>
      </c>
      <c r="I42" s="483">
        <v>12</v>
      </c>
      <c r="J42" s="483">
        <v>0</v>
      </c>
      <c r="K42" s="483">
        <v>80</v>
      </c>
      <c r="L42" s="89"/>
      <c r="M42" s="89"/>
      <c r="N42" s="89"/>
      <c r="O42" s="89"/>
      <c r="P42" s="89"/>
      <c r="Q42" s="89"/>
      <c r="R42" s="89"/>
      <c r="S42" s="89"/>
      <c r="T42" s="89"/>
      <c r="U42" s="89"/>
      <c r="V42" s="89"/>
      <c r="W42" s="89"/>
    </row>
    <row r="43" spans="2:23" ht="14.25" outlineLevel="1">
      <c r="B43" s="437">
        <f t="shared" si="0"/>
        <v>22</v>
      </c>
      <c r="C43" s="255" t="s">
        <v>191</v>
      </c>
      <c r="D43" s="494">
        <v>1181.23</v>
      </c>
      <c r="E43" s="495">
        <v>167</v>
      </c>
      <c r="F43" s="483">
        <v>7</v>
      </c>
      <c r="G43" s="483">
        <v>3</v>
      </c>
      <c r="H43" s="483">
        <v>2</v>
      </c>
      <c r="I43" s="483">
        <v>4</v>
      </c>
      <c r="J43" s="483">
        <v>917</v>
      </c>
      <c r="K43" s="483">
        <v>0</v>
      </c>
      <c r="L43" s="89"/>
      <c r="M43" s="89"/>
      <c r="N43" s="89"/>
      <c r="O43" s="89"/>
      <c r="P43" s="89"/>
      <c r="Q43" s="89"/>
      <c r="R43" s="89"/>
      <c r="S43" s="89"/>
      <c r="T43" s="89"/>
      <c r="U43" s="89"/>
      <c r="V43" s="89"/>
      <c r="W43" s="89"/>
    </row>
    <row r="44" spans="2:23" ht="14.25" outlineLevel="1">
      <c r="B44" s="437">
        <f t="shared" si="0"/>
        <v>23</v>
      </c>
      <c r="C44" s="255" t="s">
        <v>173</v>
      </c>
      <c r="D44" s="494">
        <v>281.16000000000003</v>
      </c>
      <c r="E44" s="495">
        <v>177</v>
      </c>
      <c r="F44" s="483">
        <v>7</v>
      </c>
      <c r="G44" s="483">
        <v>0</v>
      </c>
      <c r="H44" s="483">
        <v>0</v>
      </c>
      <c r="I44" s="483">
        <v>0</v>
      </c>
      <c r="J44" s="483">
        <v>147</v>
      </c>
      <c r="K44" s="483">
        <v>0</v>
      </c>
      <c r="L44" s="89"/>
      <c r="M44" s="89"/>
      <c r="N44" s="89"/>
      <c r="O44" s="89"/>
      <c r="P44" s="89"/>
      <c r="Q44" s="89"/>
      <c r="R44" s="89"/>
      <c r="S44" s="89"/>
      <c r="T44" s="89"/>
      <c r="U44" s="89"/>
      <c r="V44" s="89"/>
      <c r="W44" s="89"/>
    </row>
    <row r="45" spans="2:23" ht="14.25" outlineLevel="1">
      <c r="B45" s="437">
        <f t="shared" si="0"/>
        <v>24</v>
      </c>
      <c r="C45" s="255" t="s">
        <v>197</v>
      </c>
      <c r="D45" s="494">
        <v>463.55</v>
      </c>
      <c r="E45" s="495">
        <v>141</v>
      </c>
      <c r="F45" s="483">
        <v>33</v>
      </c>
      <c r="G45" s="483">
        <v>1</v>
      </c>
      <c r="H45" s="483">
        <v>1</v>
      </c>
      <c r="I45" s="483">
        <v>11</v>
      </c>
      <c r="J45" s="483">
        <v>288</v>
      </c>
      <c r="K45" s="483">
        <v>0</v>
      </c>
      <c r="L45" s="89"/>
      <c r="M45" s="89"/>
      <c r="N45" s="89"/>
      <c r="O45" s="89"/>
      <c r="P45" s="89"/>
      <c r="Q45" s="89"/>
      <c r="R45" s="89"/>
      <c r="S45" s="89"/>
      <c r="T45" s="89"/>
      <c r="U45" s="89"/>
      <c r="V45" s="89"/>
      <c r="W45" s="89"/>
    </row>
    <row r="46" spans="2:23" ht="14.25" outlineLevel="1">
      <c r="B46" s="437">
        <f t="shared" si="0"/>
        <v>25</v>
      </c>
      <c r="C46" s="255" t="s">
        <v>512</v>
      </c>
      <c r="D46" s="494">
        <v>674.64</v>
      </c>
      <c r="E46" s="495">
        <v>143</v>
      </c>
      <c r="F46" s="483">
        <v>34</v>
      </c>
      <c r="G46" s="483">
        <v>1</v>
      </c>
      <c r="H46" s="483">
        <v>1</v>
      </c>
      <c r="I46" s="483">
        <v>9</v>
      </c>
      <c r="J46" s="483">
        <v>0</v>
      </c>
      <c r="K46" s="483">
        <v>354</v>
      </c>
      <c r="L46" s="89"/>
      <c r="M46" s="89"/>
      <c r="N46" s="89"/>
      <c r="O46" s="89"/>
      <c r="P46" s="89"/>
      <c r="Q46" s="89"/>
      <c r="R46" s="89"/>
      <c r="S46" s="89"/>
      <c r="T46" s="89"/>
      <c r="U46" s="89"/>
      <c r="V46" s="89"/>
      <c r="W46" s="89"/>
    </row>
    <row r="47" spans="2:23" ht="14.25" outlineLevel="1">
      <c r="B47" s="437">
        <f t="shared" si="0"/>
        <v>26</v>
      </c>
      <c r="C47" s="255" t="s">
        <v>189</v>
      </c>
      <c r="D47" s="494">
        <v>843.5</v>
      </c>
      <c r="E47" s="495">
        <v>162</v>
      </c>
      <c r="F47" s="483">
        <v>14</v>
      </c>
      <c r="G47" s="483">
        <v>5</v>
      </c>
      <c r="H47" s="483">
        <v>2</v>
      </c>
      <c r="I47" s="483">
        <v>14</v>
      </c>
      <c r="J47" s="483">
        <v>0</v>
      </c>
      <c r="K47" s="483">
        <v>675</v>
      </c>
      <c r="L47" s="89"/>
      <c r="M47" s="89"/>
      <c r="N47" s="89"/>
      <c r="O47" s="89"/>
      <c r="P47" s="89"/>
      <c r="Q47" s="89"/>
      <c r="R47" s="89"/>
      <c r="S47" s="89"/>
      <c r="T47" s="89"/>
      <c r="U47" s="89"/>
      <c r="V47" s="89"/>
      <c r="W47" s="89"/>
    </row>
    <row r="48" spans="2:23" ht="14.25" outlineLevel="1">
      <c r="B48" s="437">
        <f t="shared" si="0"/>
        <v>27</v>
      </c>
      <c r="C48" s="255" t="s">
        <v>205</v>
      </c>
      <c r="D48" s="494">
        <v>1265.6600000000001</v>
      </c>
      <c r="E48" s="495">
        <v>144</v>
      </c>
      <c r="F48" s="483">
        <v>36</v>
      </c>
      <c r="G48" s="483">
        <v>1</v>
      </c>
      <c r="H48" s="483">
        <v>1</v>
      </c>
      <c r="I48" s="483">
        <v>12</v>
      </c>
      <c r="J48" s="483">
        <v>939</v>
      </c>
      <c r="K48" s="483">
        <v>0</v>
      </c>
      <c r="L48" s="89"/>
      <c r="M48" s="89"/>
      <c r="N48" s="89"/>
      <c r="O48" s="89"/>
      <c r="P48" s="89"/>
      <c r="Q48" s="89"/>
      <c r="R48" s="89"/>
      <c r="S48" s="89"/>
      <c r="T48" s="89"/>
      <c r="U48" s="89"/>
      <c r="V48" s="89"/>
      <c r="W48" s="89"/>
    </row>
    <row r="49" spans="2:23" ht="14.25" outlineLevel="1">
      <c r="B49" s="437">
        <f t="shared" si="0"/>
        <v>28</v>
      </c>
      <c r="C49" s="255" t="s">
        <v>206</v>
      </c>
      <c r="D49" s="494">
        <v>1510.52</v>
      </c>
      <c r="E49" s="495">
        <v>226</v>
      </c>
      <c r="F49" s="483">
        <v>44</v>
      </c>
      <c r="G49" s="483">
        <v>1</v>
      </c>
      <c r="H49" s="483">
        <v>1</v>
      </c>
      <c r="I49" s="483">
        <v>11</v>
      </c>
      <c r="J49" s="483">
        <v>1143</v>
      </c>
      <c r="K49" s="483">
        <v>0</v>
      </c>
      <c r="L49" s="89"/>
      <c r="M49" s="89"/>
      <c r="N49" s="89"/>
      <c r="O49" s="89"/>
      <c r="P49" s="89"/>
      <c r="Q49" s="89"/>
      <c r="R49" s="89"/>
      <c r="S49" s="89"/>
      <c r="T49" s="89"/>
      <c r="U49" s="89"/>
      <c r="V49" s="89"/>
      <c r="W49" s="89"/>
    </row>
    <row r="50" spans="2:23" ht="14.25" outlineLevel="1">
      <c r="B50" s="437">
        <f t="shared" si="0"/>
        <v>29</v>
      </c>
      <c r="C50" s="255" t="s">
        <v>207</v>
      </c>
      <c r="D50" s="494">
        <v>1932.69</v>
      </c>
      <c r="E50" s="495">
        <v>251</v>
      </c>
      <c r="F50" s="483">
        <v>40</v>
      </c>
      <c r="G50" s="483">
        <v>3</v>
      </c>
      <c r="H50" s="483">
        <v>2</v>
      </c>
      <c r="I50" s="483">
        <v>15</v>
      </c>
      <c r="J50" s="483">
        <v>1308</v>
      </c>
      <c r="K50" s="483">
        <v>0</v>
      </c>
      <c r="L50" s="89"/>
      <c r="M50" s="89"/>
      <c r="N50" s="89"/>
      <c r="O50" s="89"/>
      <c r="P50" s="89"/>
      <c r="Q50" s="89"/>
      <c r="R50" s="89"/>
      <c r="S50" s="89"/>
      <c r="T50" s="89"/>
      <c r="U50" s="89"/>
      <c r="V50" s="89"/>
      <c r="W50" s="89"/>
    </row>
    <row r="51" spans="2:23" ht="14.25" outlineLevel="1">
      <c r="B51" s="437">
        <f t="shared" si="0"/>
        <v>30</v>
      </c>
      <c r="C51" s="255" t="s">
        <v>198</v>
      </c>
      <c r="D51" s="494">
        <v>349</v>
      </c>
      <c r="E51" s="495">
        <v>0</v>
      </c>
      <c r="F51" s="483">
        <v>0</v>
      </c>
      <c r="G51" s="483">
        <v>0</v>
      </c>
      <c r="H51" s="483">
        <v>0</v>
      </c>
      <c r="I51" s="483">
        <v>0</v>
      </c>
      <c r="J51" s="483">
        <v>385</v>
      </c>
      <c r="K51" s="483">
        <v>0</v>
      </c>
      <c r="L51" s="89"/>
      <c r="M51" s="89"/>
      <c r="N51" s="89"/>
      <c r="O51" s="89"/>
      <c r="P51" s="89"/>
      <c r="Q51" s="89"/>
      <c r="R51" s="89"/>
      <c r="S51" s="89"/>
      <c r="T51" s="89"/>
      <c r="U51" s="89"/>
      <c r="V51" s="89"/>
      <c r="W51" s="89"/>
    </row>
    <row r="52" spans="2:23" ht="14.25" outlineLevel="1">
      <c r="B52" s="437">
        <f t="shared" si="0"/>
        <v>31</v>
      </c>
      <c r="C52" s="255" t="s">
        <v>200</v>
      </c>
      <c r="D52" s="494">
        <v>608.69000000000005</v>
      </c>
      <c r="E52" s="495">
        <v>0</v>
      </c>
      <c r="F52" s="483">
        <v>0</v>
      </c>
      <c r="G52" s="483">
        <v>0</v>
      </c>
      <c r="H52" s="483">
        <v>0</v>
      </c>
      <c r="I52" s="483">
        <v>0</v>
      </c>
      <c r="J52" s="483">
        <v>770</v>
      </c>
      <c r="K52" s="483">
        <v>0</v>
      </c>
      <c r="L52" s="89"/>
      <c r="M52" s="89"/>
      <c r="N52" s="89"/>
      <c r="O52" s="89"/>
      <c r="P52" s="89"/>
      <c r="Q52" s="89"/>
      <c r="R52" s="89"/>
      <c r="S52" s="89"/>
      <c r="T52" s="89"/>
      <c r="U52" s="89"/>
      <c r="V52" s="89"/>
      <c r="W52" s="89"/>
    </row>
    <row r="53" spans="2:23" ht="14.25" outlineLevel="1">
      <c r="B53" s="437">
        <f t="shared" si="0"/>
        <v>32</v>
      </c>
      <c r="C53" s="255" t="s">
        <v>202</v>
      </c>
      <c r="D53" s="494">
        <v>1042.5999999999999</v>
      </c>
      <c r="E53" s="495">
        <v>0</v>
      </c>
      <c r="F53" s="483">
        <v>0</v>
      </c>
      <c r="G53" s="483">
        <v>0</v>
      </c>
      <c r="H53" s="483">
        <v>0</v>
      </c>
      <c r="I53" s="483">
        <v>0</v>
      </c>
      <c r="J53" s="483">
        <v>834</v>
      </c>
      <c r="K53" s="483">
        <v>0</v>
      </c>
      <c r="L53" s="89"/>
      <c r="M53" s="89"/>
      <c r="N53" s="89"/>
      <c r="O53" s="89"/>
      <c r="P53" s="89"/>
      <c r="Q53" s="89"/>
      <c r="R53" s="89"/>
      <c r="S53" s="89"/>
      <c r="T53" s="89"/>
      <c r="U53" s="89"/>
      <c r="V53" s="89"/>
      <c r="W53" s="89"/>
    </row>
    <row r="54" spans="2:23" ht="14.25" outlineLevel="1">
      <c r="B54" s="437">
        <f t="shared" si="0"/>
        <v>33</v>
      </c>
      <c r="C54" s="255" t="s">
        <v>518</v>
      </c>
      <c r="D54" s="494">
        <v>509.31</v>
      </c>
      <c r="E54" s="495">
        <v>0</v>
      </c>
      <c r="F54" s="483">
        <v>0</v>
      </c>
      <c r="G54" s="483">
        <v>0</v>
      </c>
      <c r="H54" s="483">
        <v>0</v>
      </c>
      <c r="I54" s="483">
        <v>0</v>
      </c>
      <c r="J54" s="483">
        <v>658</v>
      </c>
      <c r="K54" s="483">
        <v>0</v>
      </c>
      <c r="L54" s="89"/>
      <c r="M54" s="89"/>
      <c r="N54" s="89"/>
      <c r="O54" s="89"/>
      <c r="P54" s="89"/>
      <c r="Q54" s="89"/>
      <c r="R54" s="89"/>
      <c r="S54" s="89"/>
      <c r="T54" s="89"/>
      <c r="U54" s="89"/>
      <c r="V54" s="89"/>
      <c r="W54" s="89"/>
    </row>
    <row r="55" spans="2:23" ht="14.25" outlineLevel="1">
      <c r="B55" s="437">
        <f t="shared" si="0"/>
        <v>34</v>
      </c>
      <c r="C55" s="255" t="s">
        <v>521</v>
      </c>
      <c r="D55" s="494">
        <v>679.07</v>
      </c>
      <c r="E55" s="495">
        <v>0</v>
      </c>
      <c r="F55" s="483">
        <v>0</v>
      </c>
      <c r="G55" s="483">
        <v>0</v>
      </c>
      <c r="H55" s="483">
        <v>0</v>
      </c>
      <c r="I55" s="483">
        <v>0</v>
      </c>
      <c r="J55" s="483">
        <v>487</v>
      </c>
      <c r="K55" s="483">
        <v>0</v>
      </c>
      <c r="L55" s="89"/>
      <c r="M55" s="89"/>
      <c r="N55" s="89"/>
      <c r="O55" s="89"/>
      <c r="P55" s="89"/>
      <c r="Q55" s="89"/>
      <c r="R55" s="89"/>
      <c r="S55" s="89"/>
      <c r="T55" s="89"/>
      <c r="U55" s="89"/>
      <c r="V55" s="89"/>
      <c r="W55" s="89"/>
    </row>
    <row r="56" spans="2:23" ht="14.25" outlineLevel="1">
      <c r="B56" s="437">
        <f t="shared" si="0"/>
        <v>35</v>
      </c>
      <c r="C56" s="255" t="s">
        <v>744</v>
      </c>
      <c r="D56" s="494">
        <v>933.26</v>
      </c>
      <c r="E56" s="495">
        <v>0</v>
      </c>
      <c r="F56" s="483">
        <v>0</v>
      </c>
      <c r="G56" s="483">
        <v>0</v>
      </c>
      <c r="H56" s="483">
        <v>0</v>
      </c>
      <c r="I56" s="483">
        <v>0</v>
      </c>
      <c r="J56" s="483">
        <v>705</v>
      </c>
      <c r="K56" s="483">
        <v>0</v>
      </c>
      <c r="L56" s="89"/>
      <c r="M56" s="89"/>
      <c r="N56" s="89"/>
      <c r="O56" s="89"/>
      <c r="P56" s="89"/>
      <c r="Q56" s="89"/>
      <c r="R56" s="89"/>
      <c r="S56" s="89"/>
      <c r="T56" s="89"/>
      <c r="U56" s="89"/>
      <c r="V56" s="89"/>
      <c r="W56" s="89"/>
    </row>
    <row r="57" spans="2:23" ht="14.25" outlineLevel="1">
      <c r="B57" s="437">
        <f t="shared" si="0"/>
        <v>36</v>
      </c>
      <c r="C57" s="255" t="s">
        <v>502</v>
      </c>
      <c r="D57" s="494">
        <v>1610.49</v>
      </c>
      <c r="E57" s="495">
        <v>0</v>
      </c>
      <c r="F57" s="483">
        <v>0</v>
      </c>
      <c r="G57" s="483">
        <v>0</v>
      </c>
      <c r="H57" s="483">
        <v>0</v>
      </c>
      <c r="I57" s="483">
        <v>0</v>
      </c>
      <c r="J57" s="483">
        <v>1705</v>
      </c>
      <c r="K57" s="483">
        <v>0</v>
      </c>
      <c r="L57" s="89"/>
      <c r="M57" s="89"/>
      <c r="N57" s="89"/>
      <c r="O57" s="89"/>
      <c r="P57" s="89"/>
      <c r="Q57" s="89"/>
      <c r="R57" s="89"/>
      <c r="S57" s="89"/>
      <c r="T57" s="89"/>
      <c r="U57" s="89"/>
      <c r="V57" s="89"/>
      <c r="W57" s="89"/>
    </row>
    <row r="58" spans="2:23" ht="14.25" outlineLevel="1">
      <c r="B58" s="437">
        <f t="shared" si="0"/>
        <v>37</v>
      </c>
      <c r="C58" s="255" t="s">
        <v>504</v>
      </c>
      <c r="D58" s="494">
        <v>1898.45</v>
      </c>
      <c r="E58" s="495">
        <v>0</v>
      </c>
      <c r="F58" s="483">
        <v>0</v>
      </c>
      <c r="G58" s="483">
        <v>0</v>
      </c>
      <c r="H58" s="483">
        <v>0</v>
      </c>
      <c r="I58" s="483">
        <v>0</v>
      </c>
      <c r="J58" s="483">
        <v>1607</v>
      </c>
      <c r="K58" s="483">
        <v>0</v>
      </c>
      <c r="L58" s="89"/>
      <c r="M58" s="89"/>
      <c r="N58" s="89"/>
      <c r="O58" s="89"/>
      <c r="P58" s="89"/>
      <c r="Q58" s="89"/>
      <c r="R58" s="89"/>
      <c r="S58" s="89"/>
      <c r="T58" s="89"/>
      <c r="U58" s="89"/>
      <c r="V58" s="89"/>
      <c r="W58" s="89"/>
    </row>
    <row r="59" spans="2:23" ht="14.25" outlineLevel="1">
      <c r="B59" s="437">
        <f t="shared" si="0"/>
        <v>38</v>
      </c>
      <c r="C59" s="255" t="s">
        <v>506</v>
      </c>
      <c r="D59" s="494">
        <v>2363.7200000000003</v>
      </c>
      <c r="E59" s="495">
        <v>0</v>
      </c>
      <c r="F59" s="483">
        <v>0</v>
      </c>
      <c r="G59" s="483">
        <v>0</v>
      </c>
      <c r="H59" s="483">
        <v>0</v>
      </c>
      <c r="I59" s="483">
        <v>0</v>
      </c>
      <c r="J59" s="483">
        <v>3051</v>
      </c>
      <c r="K59" s="483">
        <v>0</v>
      </c>
      <c r="L59" s="89"/>
      <c r="M59" s="89"/>
      <c r="N59" s="89"/>
      <c r="O59" s="89"/>
      <c r="P59" s="89"/>
      <c r="Q59" s="89"/>
      <c r="R59" s="89"/>
      <c r="S59" s="89"/>
      <c r="T59" s="89"/>
      <c r="U59" s="89"/>
      <c r="V59" s="89"/>
      <c r="W59" s="89"/>
    </row>
    <row r="60" spans="2:23" ht="14.25" outlineLevel="1">
      <c r="B60" s="437">
        <f t="shared" si="0"/>
        <v>39</v>
      </c>
      <c r="C60" s="255" t="s">
        <v>199</v>
      </c>
      <c r="D60" s="494">
        <v>547.98</v>
      </c>
      <c r="E60" s="495">
        <v>206</v>
      </c>
      <c r="F60" s="483">
        <v>16</v>
      </c>
      <c r="G60" s="483">
        <v>8</v>
      </c>
      <c r="H60" s="483">
        <v>3</v>
      </c>
      <c r="I60" s="483">
        <v>14</v>
      </c>
      <c r="J60" s="483">
        <v>0</v>
      </c>
      <c r="K60" s="483">
        <v>380</v>
      </c>
      <c r="L60" s="89"/>
      <c r="M60" s="89"/>
      <c r="N60" s="89"/>
      <c r="O60" s="89"/>
      <c r="P60" s="89"/>
      <c r="Q60" s="89"/>
      <c r="R60" s="89"/>
      <c r="S60" s="89"/>
      <c r="T60" s="89"/>
      <c r="U60" s="89"/>
      <c r="V60" s="89"/>
      <c r="W60" s="89"/>
    </row>
    <row r="61" spans="2:23" ht="14.25" outlineLevel="1">
      <c r="B61" s="437">
        <f t="shared" si="0"/>
        <v>40</v>
      </c>
      <c r="C61" s="255" t="s">
        <v>203</v>
      </c>
      <c r="D61" s="494">
        <v>843.5</v>
      </c>
      <c r="E61" s="495">
        <v>245</v>
      </c>
      <c r="F61" s="483">
        <v>15</v>
      </c>
      <c r="G61" s="483">
        <v>6</v>
      </c>
      <c r="H61" s="483">
        <v>2</v>
      </c>
      <c r="I61" s="483">
        <v>11</v>
      </c>
      <c r="J61" s="483">
        <v>518</v>
      </c>
      <c r="K61" s="483">
        <v>0</v>
      </c>
      <c r="L61" s="89"/>
      <c r="M61" s="89"/>
      <c r="N61" s="89"/>
      <c r="O61" s="89"/>
      <c r="P61" s="89"/>
      <c r="Q61" s="89"/>
      <c r="R61" s="89"/>
      <c r="S61" s="89"/>
      <c r="T61" s="89"/>
      <c r="U61" s="89"/>
      <c r="V61" s="89"/>
      <c r="W61" s="89"/>
    </row>
    <row r="62" spans="2:23" ht="14.25" outlineLevel="1">
      <c r="B62" s="437">
        <f t="shared" si="0"/>
        <v>41</v>
      </c>
      <c r="C62" s="255" t="s">
        <v>461</v>
      </c>
      <c r="D62" s="494"/>
      <c r="E62" s="494"/>
      <c r="F62" s="89"/>
      <c r="G62" s="89"/>
      <c r="H62" s="89"/>
      <c r="I62" s="89"/>
      <c r="J62" s="89"/>
      <c r="K62" s="89"/>
      <c r="L62" s="89"/>
      <c r="M62" s="89"/>
      <c r="N62" s="89"/>
      <c r="O62" s="89"/>
      <c r="P62" s="89"/>
      <c r="Q62" s="89"/>
      <c r="R62" s="89"/>
      <c r="S62" s="89"/>
      <c r="T62" s="89"/>
      <c r="U62" s="89"/>
      <c r="V62" s="89"/>
      <c r="W62" s="89"/>
    </row>
    <row r="63" spans="2:23" ht="14.25" outlineLevel="1">
      <c r="B63" s="437">
        <f t="shared" si="0"/>
        <v>42</v>
      </c>
      <c r="C63" s="255" t="s">
        <v>461</v>
      </c>
      <c r="D63" s="494"/>
      <c r="E63" s="494"/>
      <c r="F63" s="89"/>
      <c r="G63" s="89"/>
      <c r="H63" s="89"/>
      <c r="I63" s="89"/>
      <c r="J63" s="89"/>
      <c r="K63" s="89"/>
      <c r="L63" s="89"/>
      <c r="M63" s="89"/>
      <c r="N63" s="89"/>
      <c r="O63" s="89"/>
      <c r="P63" s="89"/>
      <c r="Q63" s="89"/>
      <c r="R63" s="89"/>
      <c r="S63" s="89"/>
      <c r="T63" s="89"/>
      <c r="U63" s="89"/>
      <c r="V63" s="89"/>
      <c r="W63" s="89"/>
    </row>
    <row r="64" spans="2:23" ht="14.25" outlineLevel="1">
      <c r="B64" s="437">
        <f t="shared" si="0"/>
        <v>43</v>
      </c>
      <c r="C64" s="255" t="s">
        <v>461</v>
      </c>
      <c r="D64" s="494"/>
      <c r="E64" s="494"/>
      <c r="F64" s="89"/>
      <c r="G64" s="89"/>
      <c r="H64" s="89"/>
      <c r="I64" s="89"/>
      <c r="J64" s="89"/>
      <c r="K64" s="89"/>
      <c r="L64" s="89"/>
      <c r="M64" s="89"/>
      <c r="N64" s="89"/>
      <c r="O64" s="89"/>
      <c r="P64" s="89"/>
      <c r="Q64" s="89"/>
      <c r="R64" s="89"/>
      <c r="S64" s="89"/>
      <c r="T64" s="89"/>
      <c r="U64" s="89"/>
      <c r="V64" s="89"/>
      <c r="W64" s="89"/>
    </row>
    <row r="65" spans="2:23" ht="14.25" outlineLevel="1">
      <c r="B65" s="437">
        <f t="shared" si="0"/>
        <v>44</v>
      </c>
      <c r="C65" s="255" t="s">
        <v>461</v>
      </c>
      <c r="D65" s="494"/>
      <c r="E65" s="494"/>
      <c r="F65" s="89"/>
      <c r="G65" s="89"/>
      <c r="H65" s="89"/>
      <c r="I65" s="89"/>
      <c r="J65" s="89"/>
      <c r="K65" s="89"/>
      <c r="L65" s="89"/>
      <c r="M65" s="89"/>
      <c r="N65" s="89"/>
      <c r="O65" s="89"/>
      <c r="P65" s="89"/>
      <c r="Q65" s="89"/>
      <c r="R65" s="89"/>
      <c r="S65" s="89"/>
      <c r="T65" s="89"/>
      <c r="U65" s="89"/>
      <c r="V65" s="89"/>
      <c r="W65" s="89"/>
    </row>
    <row r="66" spans="2:23" ht="14.25" outlineLevel="1">
      <c r="B66" s="437">
        <f t="shared" si="0"/>
        <v>45</v>
      </c>
      <c r="C66" s="255" t="s">
        <v>461</v>
      </c>
      <c r="D66" s="494"/>
      <c r="E66" s="494"/>
      <c r="F66" s="89"/>
      <c r="G66" s="89"/>
      <c r="H66" s="89"/>
      <c r="I66" s="89"/>
      <c r="J66" s="89"/>
      <c r="K66" s="89"/>
      <c r="L66" s="89"/>
      <c r="M66" s="89"/>
      <c r="N66" s="89"/>
      <c r="O66" s="89"/>
      <c r="P66" s="89"/>
      <c r="Q66" s="89"/>
      <c r="R66" s="89"/>
      <c r="S66" s="89"/>
      <c r="T66" s="89"/>
      <c r="U66" s="89"/>
      <c r="V66" s="89"/>
      <c r="W66" s="89"/>
    </row>
    <row r="67" spans="2:23" ht="14.25" outlineLevel="1">
      <c r="B67" s="437">
        <f t="shared" si="0"/>
        <v>46</v>
      </c>
      <c r="C67" s="255" t="s">
        <v>461</v>
      </c>
      <c r="D67" s="494"/>
      <c r="E67" s="494"/>
      <c r="F67" s="89"/>
      <c r="G67" s="89"/>
      <c r="H67" s="89"/>
      <c r="I67" s="89"/>
      <c r="J67" s="89"/>
      <c r="K67" s="89"/>
      <c r="L67" s="89"/>
      <c r="M67" s="89"/>
      <c r="N67" s="89"/>
      <c r="O67" s="89"/>
      <c r="P67" s="89"/>
      <c r="Q67" s="89"/>
      <c r="R67" s="89"/>
      <c r="S67" s="89"/>
      <c r="T67" s="89"/>
      <c r="U67" s="89"/>
      <c r="V67" s="89"/>
      <c r="W67" s="89"/>
    </row>
    <row r="68" spans="2:23" ht="14.25" outlineLevel="1">
      <c r="B68" s="437">
        <f t="shared" si="0"/>
        <v>47</v>
      </c>
      <c r="C68" s="255" t="s">
        <v>461</v>
      </c>
      <c r="D68" s="494"/>
      <c r="E68" s="494"/>
      <c r="F68" s="89"/>
      <c r="G68" s="89"/>
      <c r="H68" s="89"/>
      <c r="I68" s="89"/>
      <c r="J68" s="89"/>
      <c r="K68" s="89"/>
      <c r="L68" s="89"/>
      <c r="M68" s="89"/>
      <c r="N68" s="89"/>
      <c r="O68" s="89"/>
      <c r="P68" s="89"/>
      <c r="Q68" s="89"/>
      <c r="R68" s="89"/>
      <c r="S68" s="89"/>
      <c r="T68" s="89"/>
      <c r="U68" s="89"/>
      <c r="V68" s="89"/>
      <c r="W68" s="89"/>
    </row>
    <row r="69" spans="2:23" ht="14.25" outlineLevel="1">
      <c r="B69" s="437">
        <f t="shared" si="0"/>
        <v>48</v>
      </c>
      <c r="C69" s="255" t="s">
        <v>461</v>
      </c>
      <c r="D69" s="494"/>
      <c r="E69" s="494"/>
      <c r="F69" s="89"/>
      <c r="G69" s="89"/>
      <c r="H69" s="89"/>
      <c r="I69" s="89"/>
      <c r="J69" s="89"/>
      <c r="K69" s="89"/>
      <c r="L69" s="89"/>
      <c r="M69" s="89"/>
      <c r="N69" s="89"/>
      <c r="O69" s="89"/>
      <c r="P69" s="89"/>
      <c r="Q69" s="89"/>
      <c r="R69" s="89"/>
      <c r="S69" s="89"/>
      <c r="T69" s="89"/>
      <c r="U69" s="89"/>
      <c r="V69" s="89"/>
      <c r="W69" s="89"/>
    </row>
    <row r="70" spans="2:23" ht="14.25" outlineLevel="1">
      <c r="B70" s="437">
        <f t="shared" si="0"/>
        <v>49</v>
      </c>
      <c r="C70" s="255" t="s">
        <v>461</v>
      </c>
      <c r="D70" s="494"/>
      <c r="E70" s="494"/>
      <c r="F70" s="89"/>
      <c r="G70" s="89"/>
      <c r="H70" s="89"/>
      <c r="I70" s="89"/>
      <c r="J70" s="89"/>
      <c r="K70" s="89"/>
      <c r="L70" s="89"/>
      <c r="M70" s="89"/>
      <c r="N70" s="89"/>
      <c r="O70" s="89"/>
      <c r="P70" s="89"/>
      <c r="Q70" s="89"/>
      <c r="R70" s="89"/>
      <c r="S70" s="89"/>
      <c r="T70" s="89"/>
      <c r="U70" s="89"/>
      <c r="V70" s="89"/>
      <c r="W70" s="89"/>
    </row>
    <row r="71" spans="2:23" ht="14.25" outlineLevel="1">
      <c r="B71" s="437">
        <f t="shared" si="0"/>
        <v>50</v>
      </c>
      <c r="C71" s="255" t="s">
        <v>461</v>
      </c>
      <c r="D71" s="494"/>
      <c r="E71" s="494"/>
      <c r="F71" s="89"/>
      <c r="G71" s="89"/>
      <c r="H71" s="89"/>
      <c r="I71" s="89"/>
      <c r="J71" s="89"/>
      <c r="K71" s="89"/>
      <c r="L71" s="89"/>
      <c r="M71" s="89"/>
      <c r="N71" s="89"/>
      <c r="O71" s="89"/>
      <c r="P71" s="89"/>
      <c r="Q71" s="89"/>
      <c r="R71" s="89"/>
      <c r="S71" s="89"/>
      <c r="T71" s="89"/>
      <c r="U71" s="89"/>
      <c r="V71" s="89"/>
      <c r="W71" s="89"/>
    </row>
    <row r="72" spans="2:23" ht="14.25" outlineLevel="1">
      <c r="B72" s="437">
        <f t="shared" si="0"/>
        <v>51</v>
      </c>
      <c r="C72" s="255" t="s">
        <v>461</v>
      </c>
      <c r="D72" s="494"/>
      <c r="E72" s="494"/>
      <c r="F72" s="89"/>
      <c r="G72" s="89"/>
      <c r="H72" s="89"/>
      <c r="I72" s="89"/>
      <c r="J72" s="89"/>
      <c r="K72" s="89"/>
      <c r="L72" s="89"/>
      <c r="M72" s="89"/>
      <c r="N72" s="89"/>
      <c r="O72" s="89"/>
      <c r="P72" s="89"/>
      <c r="Q72" s="89"/>
      <c r="R72" s="89"/>
      <c r="S72" s="89"/>
      <c r="T72" s="89"/>
      <c r="U72" s="89"/>
      <c r="V72" s="89"/>
      <c r="W72" s="89"/>
    </row>
    <row r="73" spans="2:23" ht="14.25" outlineLevel="1">
      <c r="B73" s="437">
        <f t="shared" si="0"/>
        <v>52</v>
      </c>
      <c r="C73" s="255" t="s">
        <v>461</v>
      </c>
      <c r="D73" s="494"/>
      <c r="E73" s="494"/>
      <c r="F73" s="89"/>
      <c r="G73" s="89"/>
      <c r="H73" s="89"/>
      <c r="I73" s="89"/>
      <c r="J73" s="89"/>
      <c r="K73" s="89"/>
      <c r="L73" s="89"/>
      <c r="M73" s="89"/>
      <c r="N73" s="89"/>
      <c r="O73" s="89"/>
      <c r="P73" s="89"/>
      <c r="Q73" s="89"/>
      <c r="R73" s="89"/>
      <c r="S73" s="89"/>
      <c r="T73" s="89"/>
      <c r="U73" s="89"/>
      <c r="V73" s="89"/>
      <c r="W73" s="89"/>
    </row>
    <row r="74" spans="2:23" ht="14.25" outlineLevel="1">
      <c r="B74" s="437">
        <f t="shared" si="0"/>
        <v>53</v>
      </c>
      <c r="C74" s="255" t="s">
        <v>461</v>
      </c>
      <c r="D74" s="494"/>
      <c r="E74" s="494"/>
      <c r="F74" s="89"/>
      <c r="G74" s="89"/>
      <c r="H74" s="89"/>
      <c r="I74" s="89"/>
      <c r="J74" s="89"/>
      <c r="K74" s="89"/>
      <c r="L74" s="89"/>
      <c r="M74" s="89"/>
      <c r="N74" s="89"/>
      <c r="O74" s="89"/>
      <c r="P74" s="89"/>
      <c r="Q74" s="89"/>
      <c r="R74" s="89"/>
      <c r="S74" s="89"/>
      <c r="T74" s="89"/>
      <c r="U74" s="89"/>
      <c r="V74" s="89"/>
      <c r="W74" s="89"/>
    </row>
    <row r="75" spans="2:23" ht="14.25" outlineLevel="1">
      <c r="B75" s="437">
        <f t="shared" si="0"/>
        <v>54</v>
      </c>
      <c r="C75" s="255" t="s">
        <v>461</v>
      </c>
      <c r="D75" s="494"/>
      <c r="E75" s="494"/>
      <c r="F75" s="89"/>
      <c r="G75" s="89"/>
      <c r="H75" s="89"/>
      <c r="I75" s="89"/>
      <c r="J75" s="89"/>
      <c r="K75" s="89"/>
      <c r="L75" s="89"/>
      <c r="M75" s="89"/>
      <c r="N75" s="89"/>
      <c r="O75" s="89"/>
      <c r="P75" s="89"/>
      <c r="Q75" s="89"/>
      <c r="R75" s="89"/>
      <c r="S75" s="89"/>
      <c r="T75" s="89"/>
      <c r="U75" s="89"/>
      <c r="V75" s="89"/>
      <c r="W75" s="89"/>
    </row>
    <row r="76" spans="2:23" ht="14.25" outlineLevel="1">
      <c r="B76" s="437">
        <f t="shared" si="0"/>
        <v>55</v>
      </c>
      <c r="C76" s="255" t="s">
        <v>461</v>
      </c>
      <c r="D76" s="494"/>
      <c r="E76" s="494"/>
      <c r="F76" s="89"/>
      <c r="G76" s="89"/>
      <c r="H76" s="89"/>
      <c r="I76" s="89"/>
      <c r="J76" s="89"/>
      <c r="K76" s="89"/>
      <c r="L76" s="89"/>
      <c r="M76" s="89"/>
      <c r="N76" s="89"/>
      <c r="O76" s="89"/>
      <c r="P76" s="89"/>
      <c r="Q76" s="89"/>
      <c r="R76" s="89"/>
      <c r="S76" s="89"/>
      <c r="T76" s="89"/>
      <c r="U76" s="89"/>
      <c r="V76" s="89"/>
      <c r="W76" s="89"/>
    </row>
    <row r="77" spans="2:23" ht="14.25" outlineLevel="1">
      <c r="B77" s="437">
        <f t="shared" si="0"/>
        <v>56</v>
      </c>
      <c r="C77" s="255" t="s">
        <v>461</v>
      </c>
      <c r="D77" s="494"/>
      <c r="E77" s="494"/>
      <c r="F77" s="89"/>
      <c r="G77" s="89"/>
      <c r="H77" s="89"/>
      <c r="I77" s="89"/>
      <c r="J77" s="89"/>
      <c r="K77" s="89"/>
      <c r="L77" s="89"/>
      <c r="M77" s="89"/>
      <c r="N77" s="89"/>
      <c r="O77" s="89"/>
      <c r="P77" s="89"/>
      <c r="Q77" s="89"/>
      <c r="R77" s="89"/>
      <c r="S77" s="89"/>
      <c r="T77" s="89"/>
      <c r="U77" s="89"/>
      <c r="V77" s="89"/>
      <c r="W77" s="89"/>
    </row>
    <row r="78" spans="2:23" ht="14.25" outlineLevel="1">
      <c r="B78" s="437">
        <f t="shared" si="0"/>
        <v>57</v>
      </c>
      <c r="C78" s="255" t="s">
        <v>461</v>
      </c>
      <c r="D78" s="494"/>
      <c r="E78" s="494"/>
      <c r="F78" s="89"/>
      <c r="G78" s="89"/>
      <c r="H78" s="89"/>
      <c r="I78" s="89"/>
      <c r="J78" s="89"/>
      <c r="K78" s="89"/>
      <c r="L78" s="89"/>
      <c r="M78" s="89"/>
      <c r="N78" s="89"/>
      <c r="O78" s="89"/>
      <c r="P78" s="89"/>
      <c r="Q78" s="89"/>
      <c r="R78" s="89"/>
      <c r="S78" s="89"/>
      <c r="T78" s="89"/>
      <c r="U78" s="89"/>
      <c r="V78" s="89"/>
      <c r="W78" s="89"/>
    </row>
    <row r="79" spans="2:23" ht="14.25" outlineLevel="1">
      <c r="B79" s="437">
        <f t="shared" si="0"/>
        <v>58</v>
      </c>
      <c r="C79" s="255" t="s">
        <v>461</v>
      </c>
      <c r="D79" s="494"/>
      <c r="E79" s="494"/>
      <c r="F79" s="89"/>
      <c r="G79" s="89"/>
      <c r="H79" s="89"/>
      <c r="I79" s="89"/>
      <c r="J79" s="89"/>
      <c r="K79" s="89"/>
      <c r="L79" s="89"/>
      <c r="M79" s="89"/>
      <c r="N79" s="89"/>
      <c r="O79" s="89"/>
      <c r="P79" s="89"/>
      <c r="Q79" s="89"/>
      <c r="R79" s="89"/>
      <c r="S79" s="89"/>
      <c r="T79" s="89"/>
      <c r="U79" s="89"/>
      <c r="V79" s="89"/>
      <c r="W79" s="89"/>
    </row>
    <row r="80" spans="2:23" ht="14.25" outlineLevel="1">
      <c r="B80" s="437">
        <f t="shared" si="0"/>
        <v>59</v>
      </c>
      <c r="C80" s="255" t="s">
        <v>461</v>
      </c>
      <c r="D80" s="494"/>
      <c r="E80" s="494"/>
      <c r="F80" s="89"/>
      <c r="G80" s="89"/>
      <c r="H80" s="89"/>
      <c r="I80" s="89"/>
      <c r="J80" s="89"/>
      <c r="K80" s="89"/>
      <c r="L80" s="89"/>
      <c r="M80" s="89"/>
      <c r="N80" s="89"/>
      <c r="O80" s="89"/>
      <c r="P80" s="89"/>
      <c r="Q80" s="89"/>
      <c r="R80" s="89"/>
      <c r="S80" s="89"/>
      <c r="T80" s="89"/>
      <c r="U80" s="89"/>
      <c r="V80" s="89"/>
      <c r="W80" s="89"/>
    </row>
    <row r="81" spans="2:23" ht="14.25" outlineLevel="1">
      <c r="B81" s="437">
        <f t="shared" si="0"/>
        <v>60</v>
      </c>
      <c r="C81" s="255" t="s">
        <v>461</v>
      </c>
      <c r="D81" s="494"/>
      <c r="E81" s="494"/>
      <c r="F81" s="89"/>
      <c r="G81" s="89"/>
      <c r="H81" s="89"/>
      <c r="I81" s="89"/>
      <c r="J81" s="89"/>
      <c r="K81" s="89"/>
      <c r="L81" s="89"/>
      <c r="M81" s="89"/>
      <c r="N81" s="89"/>
      <c r="O81" s="89"/>
      <c r="P81" s="89"/>
      <c r="Q81" s="89"/>
      <c r="R81" s="89"/>
      <c r="S81" s="89"/>
      <c r="T81" s="89"/>
      <c r="U81" s="89"/>
      <c r="V81" s="89"/>
      <c r="W81" s="89"/>
    </row>
    <row r="82" spans="2:23" ht="14.25" outlineLevel="1">
      <c r="B82" s="437">
        <f t="shared" si="0"/>
        <v>61</v>
      </c>
      <c r="C82" s="255" t="s">
        <v>461</v>
      </c>
      <c r="D82" s="494"/>
      <c r="E82" s="494"/>
      <c r="F82" s="89"/>
      <c r="G82" s="89"/>
      <c r="H82" s="89"/>
      <c r="I82" s="89"/>
      <c r="J82" s="89"/>
      <c r="K82" s="89"/>
      <c r="L82" s="89"/>
      <c r="M82" s="89"/>
      <c r="N82" s="89"/>
      <c r="O82" s="89"/>
      <c r="P82" s="89"/>
      <c r="Q82" s="89"/>
      <c r="R82" s="89"/>
      <c r="S82" s="89"/>
      <c r="T82" s="89"/>
      <c r="U82" s="89"/>
      <c r="V82" s="89"/>
      <c r="W82" s="89"/>
    </row>
    <row r="83" spans="2:23" ht="14.25" outlineLevel="1">
      <c r="B83" s="437">
        <f t="shared" si="0"/>
        <v>62</v>
      </c>
      <c r="C83" s="255" t="s">
        <v>461</v>
      </c>
      <c r="D83" s="494"/>
      <c r="E83" s="494"/>
      <c r="F83" s="89"/>
      <c r="G83" s="89"/>
      <c r="H83" s="89"/>
      <c r="I83" s="89"/>
      <c r="J83" s="89"/>
      <c r="K83" s="89"/>
      <c r="L83" s="89"/>
      <c r="M83" s="89"/>
      <c r="N83" s="89"/>
      <c r="O83" s="89"/>
      <c r="P83" s="89"/>
      <c r="Q83" s="89"/>
      <c r="R83" s="89"/>
      <c r="S83" s="89"/>
      <c r="T83" s="89"/>
      <c r="U83" s="89"/>
      <c r="V83" s="89"/>
      <c r="W83" s="89"/>
    </row>
    <row r="84" spans="2:23" ht="14.25" outlineLevel="1">
      <c r="B84" s="437">
        <f t="shared" si="0"/>
        <v>63</v>
      </c>
      <c r="C84" s="255" t="s">
        <v>461</v>
      </c>
      <c r="D84" s="494"/>
      <c r="E84" s="494"/>
      <c r="F84" s="89"/>
      <c r="G84" s="89"/>
      <c r="H84" s="89"/>
      <c r="I84" s="89"/>
      <c r="J84" s="89"/>
      <c r="K84" s="89"/>
      <c r="L84" s="89"/>
      <c r="M84" s="89"/>
      <c r="N84" s="89"/>
      <c r="O84" s="89"/>
      <c r="P84" s="89"/>
      <c r="Q84" s="89"/>
      <c r="R84" s="89"/>
      <c r="S84" s="89"/>
      <c r="T84" s="89"/>
      <c r="U84" s="89"/>
      <c r="V84" s="89"/>
      <c r="W84" s="89"/>
    </row>
    <row r="85" spans="2:23" ht="14.25" outlineLevel="1">
      <c r="B85" s="437">
        <f t="shared" si="0"/>
        <v>64</v>
      </c>
      <c r="C85" s="255" t="s">
        <v>461</v>
      </c>
      <c r="D85" s="494"/>
      <c r="E85" s="494"/>
      <c r="F85" s="89"/>
      <c r="G85" s="89"/>
      <c r="H85" s="89"/>
      <c r="I85" s="89"/>
      <c r="J85" s="89"/>
      <c r="K85" s="89"/>
      <c r="L85" s="89"/>
      <c r="M85" s="89"/>
      <c r="N85" s="89"/>
      <c r="O85" s="89"/>
      <c r="P85" s="89"/>
      <c r="Q85" s="89"/>
      <c r="R85" s="89"/>
      <c r="S85" s="89"/>
      <c r="T85" s="89"/>
      <c r="U85" s="89"/>
      <c r="V85" s="89"/>
      <c r="W85" s="89"/>
    </row>
    <row r="86" spans="2:23" ht="14.25" outlineLevel="1">
      <c r="B86" s="437">
        <f t="shared" si="0"/>
        <v>65</v>
      </c>
      <c r="C86" s="255" t="s">
        <v>461</v>
      </c>
      <c r="D86" s="494"/>
      <c r="E86" s="494"/>
      <c r="F86" s="89"/>
      <c r="G86" s="89"/>
      <c r="H86" s="89"/>
      <c r="I86" s="89"/>
      <c r="J86" s="89"/>
      <c r="K86" s="89"/>
      <c r="L86" s="89"/>
      <c r="M86" s="89"/>
      <c r="N86" s="89"/>
      <c r="O86" s="89"/>
      <c r="P86" s="89"/>
      <c r="Q86" s="89"/>
      <c r="R86" s="89"/>
      <c r="S86" s="89"/>
      <c r="T86" s="89"/>
      <c r="U86" s="89"/>
      <c r="V86" s="89"/>
      <c r="W86" s="89"/>
    </row>
    <row r="87" spans="2:23" ht="14.25" outlineLevel="1">
      <c r="B87" s="437">
        <f t="shared" si="0"/>
        <v>66</v>
      </c>
      <c r="C87" s="255" t="s">
        <v>461</v>
      </c>
      <c r="D87" s="494"/>
      <c r="E87" s="494"/>
      <c r="F87" s="89"/>
      <c r="G87" s="89"/>
      <c r="H87" s="89"/>
      <c r="I87" s="89"/>
      <c r="J87" s="89"/>
      <c r="K87" s="89"/>
      <c r="L87" s="89"/>
      <c r="M87" s="89"/>
      <c r="N87" s="89"/>
      <c r="O87" s="89"/>
      <c r="P87" s="89"/>
      <c r="Q87" s="89"/>
      <c r="R87" s="89"/>
      <c r="S87" s="89"/>
      <c r="T87" s="89"/>
      <c r="U87" s="89"/>
      <c r="V87" s="89"/>
      <c r="W87" s="89"/>
    </row>
    <row r="88" spans="2:23" ht="14.25" outlineLevel="1">
      <c r="B88" s="437">
        <f t="shared" ref="B88:B93" si="1">1+B87</f>
        <v>67</v>
      </c>
      <c r="C88" s="255" t="s">
        <v>461</v>
      </c>
      <c r="D88" s="494"/>
      <c r="E88" s="494"/>
      <c r="F88" s="89"/>
      <c r="G88" s="89"/>
      <c r="H88" s="89"/>
      <c r="I88" s="89"/>
      <c r="J88" s="89"/>
      <c r="K88" s="89"/>
      <c r="L88" s="89"/>
      <c r="M88" s="89"/>
      <c r="N88" s="89"/>
      <c r="O88" s="89"/>
      <c r="P88" s="89"/>
      <c r="Q88" s="89"/>
      <c r="R88" s="89"/>
      <c r="S88" s="89"/>
      <c r="T88" s="89"/>
      <c r="U88" s="89"/>
      <c r="V88" s="89"/>
      <c r="W88" s="89"/>
    </row>
    <row r="89" spans="2:23" ht="14.25" outlineLevel="1">
      <c r="B89" s="437">
        <f t="shared" si="1"/>
        <v>68</v>
      </c>
      <c r="C89" s="255" t="s">
        <v>461</v>
      </c>
      <c r="D89" s="494"/>
      <c r="E89" s="494"/>
      <c r="F89" s="89"/>
      <c r="G89" s="89"/>
      <c r="H89" s="89"/>
      <c r="I89" s="89"/>
      <c r="J89" s="89"/>
      <c r="K89" s="89"/>
      <c r="L89" s="89"/>
      <c r="M89" s="89"/>
      <c r="N89" s="89"/>
      <c r="O89" s="89"/>
      <c r="P89" s="89"/>
      <c r="Q89" s="89"/>
      <c r="R89" s="89"/>
      <c r="S89" s="89"/>
      <c r="T89" s="89"/>
      <c r="U89" s="89"/>
      <c r="V89" s="89"/>
      <c r="W89" s="89"/>
    </row>
    <row r="90" spans="2:23" ht="14.25" outlineLevel="1">
      <c r="B90" s="437">
        <f t="shared" si="1"/>
        <v>69</v>
      </c>
      <c r="C90" s="255" t="s">
        <v>461</v>
      </c>
      <c r="D90" s="494"/>
      <c r="E90" s="494"/>
      <c r="F90" s="89"/>
      <c r="G90" s="89"/>
      <c r="H90" s="89"/>
      <c r="I90" s="89"/>
      <c r="J90" s="89"/>
      <c r="K90" s="89"/>
      <c r="L90" s="89"/>
      <c r="M90" s="89"/>
      <c r="N90" s="89"/>
      <c r="O90" s="89"/>
      <c r="P90" s="89"/>
      <c r="Q90" s="89"/>
      <c r="R90" s="89"/>
      <c r="S90" s="89"/>
      <c r="T90" s="89"/>
      <c r="U90" s="89"/>
      <c r="V90" s="89"/>
      <c r="W90" s="89"/>
    </row>
    <row r="91" spans="2:23" ht="14.25" outlineLevel="1">
      <c r="B91" s="437">
        <f t="shared" si="1"/>
        <v>70</v>
      </c>
      <c r="C91" s="255" t="s">
        <v>461</v>
      </c>
      <c r="D91" s="494"/>
      <c r="E91" s="494"/>
      <c r="F91" s="89"/>
      <c r="G91" s="89"/>
      <c r="H91" s="89"/>
      <c r="I91" s="89"/>
      <c r="J91" s="89"/>
      <c r="K91" s="89"/>
      <c r="L91" s="89"/>
      <c r="M91" s="89"/>
      <c r="N91" s="89"/>
      <c r="O91" s="89"/>
      <c r="P91" s="89"/>
      <c r="Q91" s="89"/>
      <c r="R91" s="89"/>
      <c r="S91" s="89"/>
      <c r="T91" s="89"/>
      <c r="U91" s="89"/>
      <c r="V91" s="89"/>
      <c r="W91" s="89"/>
    </row>
    <row r="92" spans="2:23" ht="14.25" outlineLevel="1">
      <c r="B92" s="437">
        <f t="shared" si="1"/>
        <v>71</v>
      </c>
      <c r="C92" s="255" t="s">
        <v>461</v>
      </c>
      <c r="D92" s="494"/>
      <c r="E92" s="494"/>
      <c r="F92" s="89"/>
      <c r="G92" s="89"/>
      <c r="H92" s="89"/>
      <c r="I92" s="89"/>
      <c r="J92" s="89"/>
      <c r="K92" s="89"/>
      <c r="L92" s="89"/>
      <c r="M92" s="89"/>
      <c r="N92" s="89"/>
      <c r="O92" s="89"/>
      <c r="P92" s="89"/>
      <c r="Q92" s="89"/>
      <c r="R92" s="89"/>
      <c r="S92" s="89"/>
      <c r="T92" s="89"/>
      <c r="U92" s="89"/>
      <c r="V92" s="89"/>
      <c r="W92" s="89"/>
    </row>
    <row r="93" spans="2:23" ht="14.25">
      <c r="B93" s="437">
        <f t="shared" si="1"/>
        <v>72</v>
      </c>
      <c r="C93" s="255" t="s">
        <v>461</v>
      </c>
      <c r="D93" s="494"/>
      <c r="E93" s="494"/>
      <c r="F93" s="89"/>
      <c r="G93" s="89"/>
      <c r="H93" s="89"/>
      <c r="I93" s="89"/>
      <c r="J93" s="89"/>
      <c r="K93" s="89"/>
      <c r="L93" s="89"/>
      <c r="M93" s="89"/>
      <c r="N93" s="89"/>
      <c r="O93" s="89"/>
      <c r="P93" s="89"/>
      <c r="Q93" s="89"/>
      <c r="R93" s="89"/>
      <c r="S93" s="89"/>
      <c r="T93" s="89"/>
      <c r="U93" s="89"/>
      <c r="V93" s="89"/>
      <c r="W93" s="89"/>
    </row>
    <row r="94" spans="2:23" ht="12"/>
    <row r="95" spans="2:23" ht="12">
      <c r="C95" s="251" t="s">
        <v>998</v>
      </c>
    </row>
    <row r="96" spans="2:23" ht="12">
      <c r="C96" s="251"/>
    </row>
    <row r="97" spans="2:23" ht="15.75">
      <c r="C97" s="489" t="s">
        <v>875</v>
      </c>
      <c r="D97" s="452"/>
      <c r="E97" s="452"/>
      <c r="F97" s="452"/>
      <c r="G97" s="453"/>
    </row>
    <row r="98" spans="2:23" ht="12">
      <c r="C98" s="251"/>
    </row>
    <row r="99" spans="2:23" ht="24">
      <c r="B99" s="251"/>
      <c r="C99" s="266" t="s">
        <v>1043</v>
      </c>
      <c r="E99" s="496" t="s">
        <v>1044</v>
      </c>
      <c r="F99" s="560" t="s">
        <v>1067</v>
      </c>
      <c r="G99" s="561"/>
      <c r="H99" s="561"/>
      <c r="I99" s="562"/>
      <c r="J99" s="563" t="s">
        <v>1046</v>
      </c>
      <c r="K99" s="563"/>
      <c r="L99" s="497" t="s">
        <v>1047</v>
      </c>
      <c r="M99" s="498" t="s">
        <v>1048</v>
      </c>
      <c r="N99" s="560" t="s">
        <v>1049</v>
      </c>
      <c r="O99" s="561"/>
      <c r="P99" s="561"/>
      <c r="Q99" s="561"/>
      <c r="R99" s="561"/>
      <c r="S99" s="561"/>
      <c r="T99" s="561"/>
      <c r="U99" s="562"/>
      <c r="V99" s="496" t="s">
        <v>1050</v>
      </c>
      <c r="W99" s="496"/>
    </row>
    <row r="100" spans="2:23" ht="48">
      <c r="B100" s="251"/>
      <c r="C100" s="430" t="s">
        <v>461</v>
      </c>
      <c r="D100" s="480" t="s">
        <v>1068</v>
      </c>
      <c r="E100" s="480" t="s">
        <v>1044</v>
      </c>
      <c r="F100" s="480" t="s">
        <v>1051</v>
      </c>
      <c r="G100" s="480" t="s">
        <v>1052</v>
      </c>
      <c r="H100" s="480" t="s">
        <v>1053</v>
      </c>
      <c r="I100" s="493" t="s">
        <v>1054</v>
      </c>
      <c r="J100" s="430" t="s">
        <v>1046</v>
      </c>
      <c r="K100" s="430" t="s">
        <v>1055</v>
      </c>
      <c r="L100" s="480" t="s">
        <v>739</v>
      </c>
      <c r="M100" s="480" t="s">
        <v>1056</v>
      </c>
      <c r="N100" s="480" t="s">
        <v>1057</v>
      </c>
      <c r="O100" s="480" t="s">
        <v>1058</v>
      </c>
      <c r="P100" s="480" t="s">
        <v>1059</v>
      </c>
      <c r="Q100" s="480" t="s">
        <v>1060</v>
      </c>
      <c r="R100" s="480" t="s">
        <v>1061</v>
      </c>
      <c r="S100" s="480" t="s">
        <v>1062</v>
      </c>
      <c r="T100" s="480" t="s">
        <v>1063</v>
      </c>
      <c r="U100" s="480" t="s">
        <v>1064</v>
      </c>
      <c r="V100" s="480" t="s">
        <v>1065</v>
      </c>
      <c r="W100" s="480" t="s">
        <v>1066</v>
      </c>
    </row>
    <row r="101" spans="2:23" ht="14.25">
      <c r="B101" s="437">
        <v>1</v>
      </c>
      <c r="C101" s="255" t="s">
        <v>461</v>
      </c>
      <c r="D101" s="494"/>
      <c r="E101" s="494"/>
      <c r="F101" s="89"/>
      <c r="G101" s="89"/>
      <c r="H101" s="89"/>
      <c r="I101" s="89"/>
      <c r="J101" s="447"/>
      <c r="K101" s="447"/>
      <c r="L101" s="89"/>
      <c r="M101" s="89"/>
      <c r="N101" s="89"/>
      <c r="O101" s="89"/>
      <c r="P101" s="89"/>
      <c r="Q101" s="89"/>
      <c r="R101" s="89"/>
      <c r="S101" s="89"/>
      <c r="T101" s="89"/>
      <c r="U101" s="89"/>
      <c r="V101" s="89"/>
      <c r="W101" s="89"/>
    </row>
    <row r="102" spans="2:23" ht="14.25">
      <c r="B102" s="437">
        <f>1+B101</f>
        <v>2</v>
      </c>
      <c r="C102" s="255" t="s">
        <v>461</v>
      </c>
      <c r="D102" s="494"/>
      <c r="E102" s="494"/>
      <c r="F102" s="89"/>
      <c r="G102" s="89"/>
      <c r="H102" s="89"/>
      <c r="I102" s="89"/>
      <c r="J102" s="89"/>
      <c r="K102" s="89"/>
      <c r="L102" s="89"/>
      <c r="M102" s="89"/>
      <c r="N102" s="89"/>
      <c r="O102" s="89"/>
      <c r="P102" s="89"/>
      <c r="Q102" s="89"/>
      <c r="R102" s="89"/>
      <c r="S102" s="89"/>
      <c r="T102" s="89"/>
      <c r="U102" s="89"/>
      <c r="V102" s="89"/>
      <c r="W102" s="89"/>
    </row>
    <row r="103" spans="2:23" ht="14.25">
      <c r="B103" s="437">
        <f t="shared" ref="B103:B166" si="2">1+B102</f>
        <v>3</v>
      </c>
      <c r="C103" s="255" t="s">
        <v>461</v>
      </c>
      <c r="D103" s="494"/>
      <c r="E103" s="494"/>
      <c r="F103" s="89"/>
      <c r="G103" s="89"/>
      <c r="H103" s="89"/>
      <c r="I103" s="89"/>
      <c r="J103" s="89"/>
      <c r="K103" s="89"/>
      <c r="L103" s="89"/>
      <c r="M103" s="89"/>
      <c r="N103" s="89"/>
      <c r="O103" s="89"/>
      <c r="P103" s="89"/>
      <c r="Q103" s="89"/>
      <c r="R103" s="89"/>
      <c r="S103" s="89"/>
      <c r="T103" s="89"/>
      <c r="U103" s="89"/>
      <c r="V103" s="89"/>
      <c r="W103" s="89"/>
    </row>
    <row r="104" spans="2:23" ht="14.25">
      <c r="B104" s="437">
        <f t="shared" si="2"/>
        <v>4</v>
      </c>
      <c r="C104" s="255" t="s">
        <v>461</v>
      </c>
      <c r="D104" s="494"/>
      <c r="E104" s="494"/>
      <c r="F104" s="89"/>
      <c r="G104" s="89"/>
      <c r="H104" s="89"/>
      <c r="I104" s="89"/>
      <c r="J104" s="89"/>
      <c r="K104" s="89"/>
      <c r="L104" s="89"/>
      <c r="M104" s="89"/>
      <c r="N104" s="89"/>
      <c r="O104" s="89"/>
      <c r="P104" s="89"/>
      <c r="Q104" s="89"/>
      <c r="R104" s="89"/>
      <c r="S104" s="89"/>
      <c r="T104" s="89"/>
      <c r="U104" s="89"/>
      <c r="V104" s="89"/>
      <c r="W104" s="89"/>
    </row>
    <row r="105" spans="2:23" ht="14.25">
      <c r="B105" s="437">
        <f t="shared" si="2"/>
        <v>5</v>
      </c>
      <c r="C105" s="255" t="s">
        <v>461</v>
      </c>
      <c r="D105" s="494"/>
      <c r="E105" s="494"/>
      <c r="F105" s="89"/>
      <c r="G105" s="89"/>
      <c r="H105" s="89"/>
      <c r="I105" s="89"/>
      <c r="J105" s="89"/>
      <c r="K105" s="89"/>
      <c r="L105" s="89"/>
      <c r="M105" s="89"/>
      <c r="N105" s="89"/>
      <c r="O105" s="89"/>
      <c r="P105" s="89"/>
      <c r="Q105" s="89"/>
      <c r="R105" s="89"/>
      <c r="S105" s="89"/>
      <c r="T105" s="89"/>
      <c r="U105" s="89"/>
      <c r="V105" s="89"/>
      <c r="W105" s="89"/>
    </row>
    <row r="106" spans="2:23" ht="14.25">
      <c r="B106" s="437">
        <f t="shared" si="2"/>
        <v>6</v>
      </c>
      <c r="C106" s="255" t="s">
        <v>461</v>
      </c>
      <c r="D106" s="494"/>
      <c r="E106" s="494"/>
      <c r="F106" s="89"/>
      <c r="G106" s="89"/>
      <c r="H106" s="89"/>
      <c r="I106" s="89"/>
      <c r="J106" s="89"/>
      <c r="K106" s="89"/>
      <c r="L106" s="89"/>
      <c r="M106" s="89"/>
      <c r="N106" s="89"/>
      <c r="O106" s="89"/>
      <c r="P106" s="89"/>
      <c r="Q106" s="89"/>
      <c r="R106" s="89"/>
      <c r="S106" s="89"/>
      <c r="T106" s="89"/>
      <c r="U106" s="89"/>
      <c r="V106" s="89"/>
      <c r="W106" s="89"/>
    </row>
    <row r="107" spans="2:23" ht="14.25">
      <c r="B107" s="437">
        <f t="shared" si="2"/>
        <v>7</v>
      </c>
      <c r="C107" s="255" t="s">
        <v>461</v>
      </c>
      <c r="D107" s="494"/>
      <c r="E107" s="494"/>
      <c r="F107" s="89"/>
      <c r="G107" s="89"/>
      <c r="H107" s="89"/>
      <c r="I107" s="89"/>
      <c r="J107" s="89"/>
      <c r="K107" s="89"/>
      <c r="L107" s="89"/>
      <c r="M107" s="89"/>
      <c r="N107" s="89"/>
      <c r="O107" s="89"/>
      <c r="P107" s="89"/>
      <c r="Q107" s="89"/>
      <c r="R107" s="89"/>
      <c r="S107" s="89"/>
      <c r="T107" s="89"/>
      <c r="U107" s="89"/>
      <c r="V107" s="89"/>
      <c r="W107" s="89"/>
    </row>
    <row r="108" spans="2:23" ht="14.25">
      <c r="B108" s="437">
        <f t="shared" si="2"/>
        <v>8</v>
      </c>
      <c r="C108" s="255" t="s">
        <v>461</v>
      </c>
      <c r="D108" s="494"/>
      <c r="E108" s="494"/>
      <c r="F108" s="89"/>
      <c r="G108" s="89"/>
      <c r="H108" s="89"/>
      <c r="I108" s="89"/>
      <c r="J108" s="89"/>
      <c r="K108" s="89"/>
      <c r="L108" s="89"/>
      <c r="M108" s="89"/>
      <c r="N108" s="89"/>
      <c r="O108" s="89"/>
      <c r="P108" s="89"/>
      <c r="Q108" s="89"/>
      <c r="R108" s="89"/>
      <c r="S108" s="89"/>
      <c r="T108" s="89"/>
      <c r="U108" s="89"/>
      <c r="V108" s="89"/>
      <c r="W108" s="89"/>
    </row>
    <row r="109" spans="2:23" ht="14.25">
      <c r="B109" s="437">
        <f t="shared" si="2"/>
        <v>9</v>
      </c>
      <c r="C109" s="255" t="s">
        <v>461</v>
      </c>
      <c r="D109" s="494"/>
      <c r="E109" s="494"/>
      <c r="F109" s="89"/>
      <c r="G109" s="89"/>
      <c r="H109" s="89"/>
      <c r="I109" s="89"/>
      <c r="J109" s="89"/>
      <c r="K109" s="89"/>
      <c r="L109" s="89"/>
      <c r="M109" s="89"/>
      <c r="N109" s="89"/>
      <c r="O109" s="89"/>
      <c r="P109" s="89"/>
      <c r="Q109" s="89"/>
      <c r="R109" s="89"/>
      <c r="S109" s="89"/>
      <c r="T109" s="89"/>
      <c r="U109" s="89"/>
      <c r="V109" s="89"/>
      <c r="W109" s="89"/>
    </row>
    <row r="110" spans="2:23" ht="14.25" hidden="1" outlineLevel="1">
      <c r="B110" s="437">
        <f t="shared" si="2"/>
        <v>10</v>
      </c>
      <c r="C110" s="255" t="s">
        <v>461</v>
      </c>
      <c r="D110" s="494"/>
      <c r="E110" s="494"/>
      <c r="F110" s="89"/>
      <c r="G110" s="89"/>
      <c r="H110" s="89"/>
      <c r="I110" s="89"/>
      <c r="J110" s="89"/>
      <c r="K110" s="89"/>
      <c r="L110" s="89"/>
      <c r="M110" s="89"/>
      <c r="N110" s="89"/>
      <c r="O110" s="89"/>
      <c r="P110" s="89"/>
      <c r="Q110" s="89"/>
      <c r="R110" s="89"/>
      <c r="S110" s="89"/>
      <c r="T110" s="89"/>
      <c r="U110" s="89"/>
      <c r="V110" s="89"/>
      <c r="W110" s="89"/>
    </row>
    <row r="111" spans="2:23" ht="14.25" hidden="1" outlineLevel="1">
      <c r="B111" s="437">
        <f t="shared" si="2"/>
        <v>11</v>
      </c>
      <c r="C111" s="255" t="s">
        <v>461</v>
      </c>
      <c r="D111" s="494"/>
      <c r="E111" s="494"/>
      <c r="F111" s="89"/>
      <c r="G111" s="89"/>
      <c r="H111" s="89"/>
      <c r="I111" s="89"/>
      <c r="J111" s="89"/>
      <c r="K111" s="89"/>
      <c r="L111" s="89"/>
      <c r="M111" s="89"/>
      <c r="N111" s="89"/>
      <c r="O111" s="89"/>
      <c r="P111" s="89"/>
      <c r="Q111" s="89"/>
      <c r="R111" s="89"/>
      <c r="S111" s="89"/>
      <c r="T111" s="89"/>
      <c r="U111" s="89"/>
      <c r="V111" s="89"/>
      <c r="W111" s="89"/>
    </row>
    <row r="112" spans="2:23" ht="14.25" hidden="1" outlineLevel="1">
      <c r="B112" s="437">
        <f t="shared" si="2"/>
        <v>12</v>
      </c>
      <c r="C112" s="255" t="s">
        <v>461</v>
      </c>
      <c r="D112" s="494"/>
      <c r="E112" s="494"/>
      <c r="F112" s="89"/>
      <c r="G112" s="89"/>
      <c r="H112" s="89"/>
      <c r="I112" s="89"/>
      <c r="J112" s="89"/>
      <c r="K112" s="89"/>
      <c r="L112" s="89"/>
      <c r="M112" s="89"/>
      <c r="N112" s="89"/>
      <c r="O112" s="89"/>
      <c r="P112" s="89"/>
      <c r="Q112" s="89"/>
      <c r="R112" s="89"/>
      <c r="S112" s="89"/>
      <c r="T112" s="89"/>
      <c r="U112" s="89"/>
      <c r="V112" s="89"/>
      <c r="W112" s="89"/>
    </row>
    <row r="113" spans="2:23" ht="14.25" hidden="1" outlineLevel="1">
      <c r="B113" s="437">
        <f t="shared" si="2"/>
        <v>13</v>
      </c>
      <c r="C113" s="255" t="s">
        <v>461</v>
      </c>
      <c r="D113" s="494"/>
      <c r="E113" s="494"/>
      <c r="F113" s="89"/>
      <c r="G113" s="89"/>
      <c r="H113" s="89"/>
      <c r="I113" s="89"/>
      <c r="J113" s="89"/>
      <c r="K113" s="89"/>
      <c r="L113" s="89"/>
      <c r="M113" s="89"/>
      <c r="N113" s="89"/>
      <c r="O113" s="89"/>
      <c r="P113" s="89"/>
      <c r="Q113" s="89"/>
      <c r="R113" s="89"/>
      <c r="S113" s="89"/>
      <c r="T113" s="89"/>
      <c r="U113" s="89"/>
      <c r="V113" s="89"/>
      <c r="W113" s="89"/>
    </row>
    <row r="114" spans="2:23" ht="14.25" hidden="1" outlineLevel="1">
      <c r="B114" s="437">
        <f t="shared" si="2"/>
        <v>14</v>
      </c>
      <c r="C114" s="255" t="s">
        <v>461</v>
      </c>
      <c r="D114" s="494"/>
      <c r="E114" s="494"/>
      <c r="F114" s="89"/>
      <c r="G114" s="89"/>
      <c r="H114" s="89"/>
      <c r="I114" s="89"/>
      <c r="J114" s="89"/>
      <c r="K114" s="89"/>
      <c r="L114" s="89"/>
      <c r="M114" s="89"/>
      <c r="N114" s="89"/>
      <c r="O114" s="89"/>
      <c r="P114" s="89"/>
      <c r="Q114" s="89"/>
      <c r="R114" s="89"/>
      <c r="S114" s="89"/>
      <c r="T114" s="89"/>
      <c r="U114" s="89"/>
      <c r="V114" s="89"/>
      <c r="W114" s="89"/>
    </row>
    <row r="115" spans="2:23" ht="14.25" hidden="1" outlineLevel="1">
      <c r="B115" s="437">
        <f t="shared" si="2"/>
        <v>15</v>
      </c>
      <c r="C115" s="255" t="s">
        <v>461</v>
      </c>
      <c r="D115" s="494"/>
      <c r="E115" s="494"/>
      <c r="F115" s="89"/>
      <c r="G115" s="89"/>
      <c r="H115" s="89"/>
      <c r="I115" s="89"/>
      <c r="J115" s="89"/>
      <c r="K115" s="89"/>
      <c r="L115" s="89"/>
      <c r="M115" s="89"/>
      <c r="N115" s="89"/>
      <c r="O115" s="89"/>
      <c r="P115" s="89"/>
      <c r="Q115" s="89"/>
      <c r="R115" s="89"/>
      <c r="S115" s="89"/>
      <c r="T115" s="89"/>
      <c r="U115" s="89"/>
      <c r="V115" s="89"/>
      <c r="W115" s="89"/>
    </row>
    <row r="116" spans="2:23" ht="14.25" hidden="1" outlineLevel="1">
      <c r="B116" s="437">
        <f t="shared" si="2"/>
        <v>16</v>
      </c>
      <c r="C116" s="255" t="s">
        <v>461</v>
      </c>
      <c r="D116" s="494"/>
      <c r="E116" s="494"/>
      <c r="F116" s="89"/>
      <c r="G116" s="89"/>
      <c r="H116" s="89"/>
      <c r="I116" s="89"/>
      <c r="J116" s="89"/>
      <c r="K116" s="89"/>
      <c r="L116" s="89"/>
      <c r="M116" s="89"/>
      <c r="N116" s="89"/>
      <c r="O116" s="89"/>
      <c r="P116" s="89"/>
      <c r="Q116" s="89"/>
      <c r="R116" s="89"/>
      <c r="S116" s="89"/>
      <c r="T116" s="89"/>
      <c r="U116" s="89"/>
      <c r="V116" s="89"/>
      <c r="W116" s="89"/>
    </row>
    <row r="117" spans="2:23" ht="14.25" hidden="1" outlineLevel="1">
      <c r="B117" s="437">
        <f t="shared" si="2"/>
        <v>17</v>
      </c>
      <c r="C117" s="255" t="s">
        <v>461</v>
      </c>
      <c r="D117" s="494"/>
      <c r="E117" s="494"/>
      <c r="F117" s="89"/>
      <c r="G117" s="89"/>
      <c r="H117" s="89"/>
      <c r="I117" s="89"/>
      <c r="J117" s="89"/>
      <c r="K117" s="89"/>
      <c r="L117" s="89"/>
      <c r="M117" s="89"/>
      <c r="N117" s="89"/>
      <c r="O117" s="89"/>
      <c r="P117" s="89"/>
      <c r="Q117" s="89"/>
      <c r="R117" s="89"/>
      <c r="S117" s="89"/>
      <c r="T117" s="89"/>
      <c r="U117" s="89"/>
      <c r="V117" s="89"/>
      <c r="W117" s="89"/>
    </row>
    <row r="118" spans="2:23" ht="14.25" hidden="1" outlineLevel="1">
      <c r="B118" s="437">
        <f t="shared" si="2"/>
        <v>18</v>
      </c>
      <c r="C118" s="255" t="s">
        <v>461</v>
      </c>
      <c r="D118" s="494"/>
      <c r="E118" s="494"/>
      <c r="F118" s="89"/>
      <c r="G118" s="89"/>
      <c r="H118" s="89"/>
      <c r="I118" s="89"/>
      <c r="J118" s="89"/>
      <c r="K118" s="89"/>
      <c r="L118" s="89"/>
      <c r="M118" s="89"/>
      <c r="N118" s="89"/>
      <c r="O118" s="89"/>
      <c r="P118" s="89"/>
      <c r="Q118" s="89"/>
      <c r="R118" s="89"/>
      <c r="S118" s="89"/>
      <c r="T118" s="89"/>
      <c r="U118" s="89"/>
      <c r="V118" s="89"/>
      <c r="W118" s="89"/>
    </row>
    <row r="119" spans="2:23" ht="14.25" hidden="1" outlineLevel="1">
      <c r="B119" s="437">
        <f t="shared" si="2"/>
        <v>19</v>
      </c>
      <c r="C119" s="255" t="s">
        <v>461</v>
      </c>
      <c r="D119" s="494"/>
      <c r="E119" s="494"/>
      <c r="F119" s="89"/>
      <c r="G119" s="89"/>
      <c r="H119" s="89"/>
      <c r="I119" s="89"/>
      <c r="J119" s="89"/>
      <c r="K119" s="89"/>
      <c r="L119" s="89"/>
      <c r="M119" s="89"/>
      <c r="N119" s="89"/>
      <c r="O119" s="89"/>
      <c r="P119" s="89"/>
      <c r="Q119" s="89"/>
      <c r="R119" s="89"/>
      <c r="S119" s="89"/>
      <c r="T119" s="89"/>
      <c r="U119" s="89"/>
      <c r="V119" s="89"/>
      <c r="W119" s="89"/>
    </row>
    <row r="120" spans="2:23" ht="14.25" hidden="1" outlineLevel="1">
      <c r="B120" s="437">
        <f t="shared" si="2"/>
        <v>20</v>
      </c>
      <c r="C120" s="255" t="s">
        <v>461</v>
      </c>
      <c r="D120" s="494"/>
      <c r="E120" s="494"/>
      <c r="F120" s="89"/>
      <c r="G120" s="89"/>
      <c r="H120" s="89"/>
      <c r="I120" s="89"/>
      <c r="J120" s="89"/>
      <c r="K120" s="89"/>
      <c r="L120" s="89"/>
      <c r="M120" s="89"/>
      <c r="N120" s="89"/>
      <c r="O120" s="89"/>
      <c r="P120" s="89"/>
      <c r="Q120" s="89"/>
      <c r="R120" s="89"/>
      <c r="S120" s="89"/>
      <c r="T120" s="89"/>
      <c r="U120" s="89"/>
      <c r="V120" s="89"/>
      <c r="W120" s="89"/>
    </row>
    <row r="121" spans="2:23" ht="14.25" hidden="1" outlineLevel="1">
      <c r="B121" s="437">
        <f t="shared" si="2"/>
        <v>21</v>
      </c>
      <c r="C121" s="255" t="s">
        <v>461</v>
      </c>
      <c r="D121" s="494"/>
      <c r="E121" s="494"/>
      <c r="F121" s="89"/>
      <c r="G121" s="89"/>
      <c r="H121" s="89"/>
      <c r="I121" s="89"/>
      <c r="J121" s="89"/>
      <c r="K121" s="89"/>
      <c r="L121" s="89"/>
      <c r="M121" s="89"/>
      <c r="N121" s="89"/>
      <c r="O121" s="89"/>
      <c r="P121" s="89"/>
      <c r="Q121" s="89"/>
      <c r="R121" s="89"/>
      <c r="S121" s="89"/>
      <c r="T121" s="89"/>
      <c r="U121" s="89"/>
      <c r="V121" s="89"/>
      <c r="W121" s="89"/>
    </row>
    <row r="122" spans="2:23" ht="14.25" hidden="1" outlineLevel="1">
      <c r="B122" s="437">
        <f t="shared" si="2"/>
        <v>22</v>
      </c>
      <c r="C122" s="255" t="s">
        <v>461</v>
      </c>
      <c r="D122" s="494"/>
      <c r="E122" s="494"/>
      <c r="F122" s="89"/>
      <c r="G122" s="89"/>
      <c r="H122" s="89"/>
      <c r="I122" s="89"/>
      <c r="J122" s="89"/>
      <c r="K122" s="89"/>
      <c r="L122" s="89"/>
      <c r="M122" s="89"/>
      <c r="N122" s="89"/>
      <c r="O122" s="89"/>
      <c r="P122" s="89"/>
      <c r="Q122" s="89"/>
      <c r="R122" s="89"/>
      <c r="S122" s="89"/>
      <c r="T122" s="89"/>
      <c r="U122" s="89"/>
      <c r="V122" s="89"/>
      <c r="W122" s="89"/>
    </row>
    <row r="123" spans="2:23" ht="14.25" hidden="1" outlineLevel="1">
      <c r="B123" s="437">
        <f t="shared" si="2"/>
        <v>23</v>
      </c>
      <c r="C123" s="255" t="s">
        <v>461</v>
      </c>
      <c r="D123" s="494"/>
      <c r="E123" s="494"/>
      <c r="F123" s="89"/>
      <c r="G123" s="89"/>
      <c r="H123" s="89"/>
      <c r="I123" s="89"/>
      <c r="J123" s="89"/>
      <c r="K123" s="89"/>
      <c r="L123" s="89"/>
      <c r="M123" s="89"/>
      <c r="N123" s="89"/>
      <c r="O123" s="89"/>
      <c r="P123" s="89"/>
      <c r="Q123" s="89"/>
      <c r="R123" s="89"/>
      <c r="S123" s="89"/>
      <c r="T123" s="89"/>
      <c r="U123" s="89"/>
      <c r="V123" s="89"/>
      <c r="W123" s="89"/>
    </row>
    <row r="124" spans="2:23" ht="14.25" hidden="1" outlineLevel="1">
      <c r="B124" s="437">
        <f t="shared" si="2"/>
        <v>24</v>
      </c>
      <c r="C124" s="255" t="s">
        <v>461</v>
      </c>
      <c r="D124" s="494"/>
      <c r="E124" s="494"/>
      <c r="F124" s="89"/>
      <c r="G124" s="89"/>
      <c r="H124" s="89"/>
      <c r="I124" s="89"/>
      <c r="J124" s="89"/>
      <c r="K124" s="89"/>
      <c r="L124" s="89"/>
      <c r="M124" s="89"/>
      <c r="N124" s="89"/>
      <c r="O124" s="89"/>
      <c r="P124" s="89"/>
      <c r="Q124" s="89"/>
      <c r="R124" s="89"/>
      <c r="S124" s="89"/>
      <c r="T124" s="89"/>
      <c r="U124" s="89"/>
      <c r="V124" s="89"/>
      <c r="W124" s="89"/>
    </row>
    <row r="125" spans="2:23" ht="14.25" hidden="1" outlineLevel="1">
      <c r="B125" s="437">
        <f t="shared" si="2"/>
        <v>25</v>
      </c>
      <c r="C125" s="255" t="s">
        <v>461</v>
      </c>
      <c r="D125" s="494"/>
      <c r="E125" s="494"/>
      <c r="F125" s="89"/>
      <c r="G125" s="89"/>
      <c r="H125" s="89"/>
      <c r="I125" s="89"/>
      <c r="J125" s="89"/>
      <c r="K125" s="89"/>
      <c r="L125" s="89"/>
      <c r="M125" s="89"/>
      <c r="N125" s="89"/>
      <c r="O125" s="89"/>
      <c r="P125" s="89"/>
      <c r="Q125" s="89"/>
      <c r="R125" s="89"/>
      <c r="S125" s="89"/>
      <c r="T125" s="89"/>
      <c r="U125" s="89"/>
      <c r="V125" s="89"/>
      <c r="W125" s="89"/>
    </row>
    <row r="126" spans="2:23" ht="14.25" hidden="1" outlineLevel="1">
      <c r="B126" s="437">
        <f t="shared" si="2"/>
        <v>26</v>
      </c>
      <c r="C126" s="255" t="s">
        <v>461</v>
      </c>
      <c r="D126" s="494"/>
      <c r="E126" s="494"/>
      <c r="F126" s="89"/>
      <c r="G126" s="89"/>
      <c r="H126" s="89"/>
      <c r="I126" s="89"/>
      <c r="J126" s="89"/>
      <c r="K126" s="89"/>
      <c r="L126" s="89"/>
      <c r="M126" s="89"/>
      <c r="N126" s="89"/>
      <c r="O126" s="89"/>
      <c r="P126" s="89"/>
      <c r="Q126" s="89"/>
      <c r="R126" s="89"/>
      <c r="S126" s="89"/>
      <c r="T126" s="89"/>
      <c r="U126" s="89"/>
      <c r="V126" s="89"/>
      <c r="W126" s="89"/>
    </row>
    <row r="127" spans="2:23" ht="14.25" hidden="1" outlineLevel="1">
      <c r="B127" s="437">
        <f t="shared" si="2"/>
        <v>27</v>
      </c>
      <c r="C127" s="255" t="s">
        <v>461</v>
      </c>
      <c r="D127" s="494"/>
      <c r="E127" s="494"/>
      <c r="F127" s="89"/>
      <c r="G127" s="89"/>
      <c r="H127" s="89"/>
      <c r="I127" s="89"/>
      <c r="J127" s="89"/>
      <c r="K127" s="89"/>
      <c r="L127" s="89"/>
      <c r="M127" s="89"/>
      <c r="N127" s="89"/>
      <c r="O127" s="89"/>
      <c r="P127" s="89"/>
      <c r="Q127" s="89"/>
      <c r="R127" s="89"/>
      <c r="S127" s="89"/>
      <c r="T127" s="89"/>
      <c r="U127" s="89"/>
      <c r="V127" s="89"/>
      <c r="W127" s="89"/>
    </row>
    <row r="128" spans="2:23" ht="14.25" hidden="1" outlineLevel="1">
      <c r="B128" s="437">
        <f t="shared" si="2"/>
        <v>28</v>
      </c>
      <c r="C128" s="255" t="s">
        <v>461</v>
      </c>
      <c r="D128" s="494"/>
      <c r="E128" s="494"/>
      <c r="F128" s="89"/>
      <c r="G128" s="89"/>
      <c r="H128" s="89"/>
      <c r="I128" s="89"/>
      <c r="J128" s="89"/>
      <c r="K128" s="89"/>
      <c r="L128" s="89"/>
      <c r="M128" s="89"/>
      <c r="N128" s="89"/>
      <c r="O128" s="89"/>
      <c r="P128" s="89"/>
      <c r="Q128" s="89"/>
      <c r="R128" s="89"/>
      <c r="S128" s="89"/>
      <c r="T128" s="89"/>
      <c r="U128" s="89"/>
      <c r="V128" s="89"/>
      <c r="W128" s="89"/>
    </row>
    <row r="129" spans="2:23" ht="14.25" hidden="1" outlineLevel="1">
      <c r="B129" s="437">
        <f t="shared" si="2"/>
        <v>29</v>
      </c>
      <c r="C129" s="255" t="s">
        <v>461</v>
      </c>
      <c r="D129" s="494"/>
      <c r="E129" s="494"/>
      <c r="F129" s="89"/>
      <c r="G129" s="89"/>
      <c r="H129" s="89"/>
      <c r="I129" s="89"/>
      <c r="J129" s="89"/>
      <c r="K129" s="89"/>
      <c r="L129" s="89"/>
      <c r="M129" s="89"/>
      <c r="N129" s="89"/>
      <c r="O129" s="89"/>
      <c r="P129" s="89"/>
      <c r="Q129" s="89"/>
      <c r="R129" s="89"/>
      <c r="S129" s="89"/>
      <c r="T129" s="89"/>
      <c r="U129" s="89"/>
      <c r="V129" s="89"/>
      <c r="W129" s="89"/>
    </row>
    <row r="130" spans="2:23" ht="14.25" hidden="1" outlineLevel="1">
      <c r="B130" s="437">
        <f t="shared" si="2"/>
        <v>30</v>
      </c>
      <c r="C130" s="255" t="s">
        <v>461</v>
      </c>
      <c r="D130" s="494"/>
      <c r="E130" s="494"/>
      <c r="F130" s="89"/>
      <c r="G130" s="89"/>
      <c r="H130" s="89"/>
      <c r="I130" s="89"/>
      <c r="J130" s="89"/>
      <c r="K130" s="89"/>
      <c r="L130" s="89"/>
      <c r="M130" s="89"/>
      <c r="N130" s="89"/>
      <c r="O130" s="89"/>
      <c r="P130" s="89"/>
      <c r="Q130" s="89"/>
      <c r="R130" s="89"/>
      <c r="S130" s="89"/>
      <c r="T130" s="89"/>
      <c r="U130" s="89"/>
      <c r="V130" s="89"/>
      <c r="W130" s="89"/>
    </row>
    <row r="131" spans="2:23" ht="14.25" hidden="1" outlineLevel="1">
      <c r="B131" s="437">
        <f t="shared" si="2"/>
        <v>31</v>
      </c>
      <c r="C131" s="255" t="s">
        <v>461</v>
      </c>
      <c r="D131" s="494"/>
      <c r="E131" s="494"/>
      <c r="F131" s="89"/>
      <c r="G131" s="89"/>
      <c r="H131" s="89"/>
      <c r="I131" s="89"/>
      <c r="J131" s="89"/>
      <c r="K131" s="89"/>
      <c r="L131" s="89"/>
      <c r="M131" s="89"/>
      <c r="N131" s="89"/>
      <c r="O131" s="89"/>
      <c r="P131" s="89"/>
      <c r="Q131" s="89"/>
      <c r="R131" s="89"/>
      <c r="S131" s="89"/>
      <c r="T131" s="89"/>
      <c r="U131" s="89"/>
      <c r="V131" s="89"/>
      <c r="W131" s="89"/>
    </row>
    <row r="132" spans="2:23" ht="14.25" hidden="1" outlineLevel="1">
      <c r="B132" s="437">
        <f t="shared" si="2"/>
        <v>32</v>
      </c>
      <c r="C132" s="255" t="s">
        <v>461</v>
      </c>
      <c r="D132" s="494"/>
      <c r="E132" s="494"/>
      <c r="F132" s="89"/>
      <c r="G132" s="89"/>
      <c r="H132" s="89"/>
      <c r="I132" s="89"/>
      <c r="J132" s="89"/>
      <c r="K132" s="89"/>
      <c r="L132" s="89"/>
      <c r="M132" s="89"/>
      <c r="N132" s="89"/>
      <c r="O132" s="89"/>
      <c r="P132" s="89"/>
      <c r="Q132" s="89"/>
      <c r="R132" s="89"/>
      <c r="S132" s="89"/>
      <c r="T132" s="89"/>
      <c r="U132" s="89"/>
      <c r="V132" s="89"/>
      <c r="W132" s="89"/>
    </row>
    <row r="133" spans="2:23" ht="14.25" hidden="1" outlineLevel="1">
      <c r="B133" s="437">
        <f t="shared" si="2"/>
        <v>33</v>
      </c>
      <c r="C133" s="255" t="s">
        <v>461</v>
      </c>
      <c r="D133" s="494"/>
      <c r="E133" s="494"/>
      <c r="F133" s="89"/>
      <c r="G133" s="89"/>
      <c r="H133" s="89"/>
      <c r="I133" s="89"/>
      <c r="J133" s="89"/>
      <c r="K133" s="89"/>
      <c r="L133" s="89"/>
      <c r="M133" s="89"/>
      <c r="N133" s="89"/>
      <c r="O133" s="89"/>
      <c r="P133" s="89"/>
      <c r="Q133" s="89"/>
      <c r="R133" s="89"/>
      <c r="S133" s="89"/>
      <c r="T133" s="89"/>
      <c r="U133" s="89"/>
      <c r="V133" s="89"/>
      <c r="W133" s="89"/>
    </row>
    <row r="134" spans="2:23" ht="14.25" hidden="1" outlineLevel="1">
      <c r="B134" s="437">
        <f t="shared" si="2"/>
        <v>34</v>
      </c>
      <c r="C134" s="255" t="s">
        <v>461</v>
      </c>
      <c r="D134" s="494"/>
      <c r="E134" s="494"/>
      <c r="F134" s="89"/>
      <c r="G134" s="89"/>
      <c r="H134" s="89"/>
      <c r="I134" s="89"/>
      <c r="J134" s="89"/>
      <c r="K134" s="89"/>
      <c r="L134" s="89"/>
      <c r="M134" s="89"/>
      <c r="N134" s="89"/>
      <c r="O134" s="89"/>
      <c r="P134" s="89"/>
      <c r="Q134" s="89"/>
      <c r="R134" s="89"/>
      <c r="S134" s="89"/>
      <c r="T134" s="89"/>
      <c r="U134" s="89"/>
      <c r="V134" s="89"/>
      <c r="W134" s="89"/>
    </row>
    <row r="135" spans="2:23" ht="14.25" hidden="1" outlineLevel="1">
      <c r="B135" s="437">
        <f t="shared" si="2"/>
        <v>35</v>
      </c>
      <c r="C135" s="255" t="s">
        <v>461</v>
      </c>
      <c r="D135" s="494"/>
      <c r="E135" s="494"/>
      <c r="F135" s="89"/>
      <c r="G135" s="89"/>
      <c r="H135" s="89"/>
      <c r="I135" s="89"/>
      <c r="J135" s="89"/>
      <c r="K135" s="89"/>
      <c r="L135" s="89"/>
      <c r="M135" s="89"/>
      <c r="N135" s="89"/>
      <c r="O135" s="89"/>
      <c r="P135" s="89"/>
      <c r="Q135" s="89"/>
      <c r="R135" s="89"/>
      <c r="S135" s="89"/>
      <c r="T135" s="89"/>
      <c r="U135" s="89"/>
      <c r="V135" s="89"/>
      <c r="W135" s="89"/>
    </row>
    <row r="136" spans="2:23" ht="14.25" hidden="1" outlineLevel="1">
      <c r="B136" s="437">
        <f t="shared" si="2"/>
        <v>36</v>
      </c>
      <c r="C136" s="255" t="s">
        <v>461</v>
      </c>
      <c r="D136" s="494"/>
      <c r="E136" s="494"/>
      <c r="F136" s="89"/>
      <c r="G136" s="89"/>
      <c r="H136" s="89"/>
      <c r="I136" s="89"/>
      <c r="J136" s="89"/>
      <c r="K136" s="89"/>
      <c r="L136" s="89"/>
      <c r="M136" s="89"/>
      <c r="N136" s="89"/>
      <c r="O136" s="89"/>
      <c r="P136" s="89"/>
      <c r="Q136" s="89"/>
      <c r="R136" s="89"/>
      <c r="S136" s="89"/>
      <c r="T136" s="89"/>
      <c r="U136" s="89"/>
      <c r="V136" s="89"/>
      <c r="W136" s="89"/>
    </row>
    <row r="137" spans="2:23" ht="14.25" hidden="1" outlineLevel="1">
      <c r="B137" s="437">
        <f t="shared" si="2"/>
        <v>37</v>
      </c>
      <c r="C137" s="255" t="s">
        <v>461</v>
      </c>
      <c r="D137" s="494"/>
      <c r="E137" s="494"/>
      <c r="F137" s="89"/>
      <c r="G137" s="89"/>
      <c r="H137" s="89"/>
      <c r="I137" s="89"/>
      <c r="J137" s="89"/>
      <c r="K137" s="89"/>
      <c r="L137" s="89"/>
      <c r="M137" s="89"/>
      <c r="N137" s="89"/>
      <c r="O137" s="89"/>
      <c r="P137" s="89"/>
      <c r="Q137" s="89"/>
      <c r="R137" s="89"/>
      <c r="S137" s="89"/>
      <c r="T137" s="89"/>
      <c r="U137" s="89"/>
      <c r="V137" s="89"/>
      <c r="W137" s="89"/>
    </row>
    <row r="138" spans="2:23" ht="14.25" hidden="1" outlineLevel="1">
      <c r="B138" s="437">
        <f t="shared" si="2"/>
        <v>38</v>
      </c>
      <c r="C138" s="255" t="s">
        <v>461</v>
      </c>
      <c r="D138" s="494"/>
      <c r="E138" s="494"/>
      <c r="F138" s="89"/>
      <c r="G138" s="89"/>
      <c r="H138" s="89"/>
      <c r="I138" s="89"/>
      <c r="J138" s="89"/>
      <c r="K138" s="89"/>
      <c r="L138" s="89"/>
      <c r="M138" s="89"/>
      <c r="N138" s="89"/>
      <c r="O138" s="89"/>
      <c r="P138" s="89"/>
      <c r="Q138" s="89"/>
      <c r="R138" s="89"/>
      <c r="S138" s="89"/>
      <c r="T138" s="89"/>
      <c r="U138" s="89"/>
      <c r="V138" s="89"/>
      <c r="W138" s="89"/>
    </row>
    <row r="139" spans="2:23" ht="14.25" hidden="1" outlineLevel="1">
      <c r="B139" s="437">
        <f t="shared" si="2"/>
        <v>39</v>
      </c>
      <c r="C139" s="255" t="s">
        <v>461</v>
      </c>
      <c r="D139" s="494"/>
      <c r="E139" s="494"/>
      <c r="F139" s="89"/>
      <c r="G139" s="89"/>
      <c r="H139" s="89"/>
      <c r="I139" s="89"/>
      <c r="J139" s="89"/>
      <c r="K139" s="89"/>
      <c r="L139" s="89"/>
      <c r="M139" s="89"/>
      <c r="N139" s="89"/>
      <c r="O139" s="89"/>
      <c r="P139" s="89"/>
      <c r="Q139" s="89"/>
      <c r="R139" s="89"/>
      <c r="S139" s="89"/>
      <c r="T139" s="89"/>
      <c r="U139" s="89"/>
      <c r="V139" s="89"/>
      <c r="W139" s="89"/>
    </row>
    <row r="140" spans="2:23" ht="14.25" hidden="1" outlineLevel="1">
      <c r="B140" s="437">
        <f t="shared" si="2"/>
        <v>40</v>
      </c>
      <c r="C140" s="255" t="s">
        <v>461</v>
      </c>
      <c r="D140" s="494"/>
      <c r="E140" s="494"/>
      <c r="F140" s="89"/>
      <c r="G140" s="89"/>
      <c r="H140" s="89"/>
      <c r="I140" s="89"/>
      <c r="J140" s="89"/>
      <c r="K140" s="89"/>
      <c r="L140" s="89"/>
      <c r="M140" s="89"/>
      <c r="N140" s="89"/>
      <c r="O140" s="89"/>
      <c r="P140" s="89"/>
      <c r="Q140" s="89"/>
      <c r="R140" s="89"/>
      <c r="S140" s="89"/>
      <c r="T140" s="89"/>
      <c r="U140" s="89"/>
      <c r="V140" s="89"/>
      <c r="W140" s="89"/>
    </row>
    <row r="141" spans="2:23" ht="14.25" hidden="1" outlineLevel="1">
      <c r="B141" s="437">
        <f t="shared" si="2"/>
        <v>41</v>
      </c>
      <c r="C141" s="255" t="s">
        <v>461</v>
      </c>
      <c r="D141" s="494"/>
      <c r="E141" s="494"/>
      <c r="F141" s="89"/>
      <c r="G141" s="89"/>
      <c r="H141" s="89"/>
      <c r="I141" s="89"/>
      <c r="J141" s="89"/>
      <c r="K141" s="89"/>
      <c r="L141" s="89"/>
      <c r="M141" s="89"/>
      <c r="N141" s="89"/>
      <c r="O141" s="89"/>
      <c r="P141" s="89"/>
      <c r="Q141" s="89"/>
      <c r="R141" s="89"/>
      <c r="S141" s="89"/>
      <c r="T141" s="89"/>
      <c r="U141" s="89"/>
      <c r="V141" s="89"/>
      <c r="W141" s="89"/>
    </row>
    <row r="142" spans="2:23" ht="14.25" hidden="1" outlineLevel="1">
      <c r="B142" s="437">
        <f t="shared" si="2"/>
        <v>42</v>
      </c>
      <c r="C142" s="255" t="s">
        <v>461</v>
      </c>
      <c r="D142" s="494"/>
      <c r="E142" s="494"/>
      <c r="F142" s="89"/>
      <c r="G142" s="89"/>
      <c r="H142" s="89"/>
      <c r="I142" s="89"/>
      <c r="J142" s="89"/>
      <c r="K142" s="89"/>
      <c r="L142" s="89"/>
      <c r="M142" s="89"/>
      <c r="N142" s="89"/>
      <c r="O142" s="89"/>
      <c r="P142" s="89"/>
      <c r="Q142" s="89"/>
      <c r="R142" s="89"/>
      <c r="S142" s="89"/>
      <c r="T142" s="89"/>
      <c r="U142" s="89"/>
      <c r="V142" s="89"/>
      <c r="W142" s="89"/>
    </row>
    <row r="143" spans="2:23" ht="14.25" hidden="1" outlineLevel="1">
      <c r="B143" s="437">
        <f t="shared" si="2"/>
        <v>43</v>
      </c>
      <c r="C143" s="255" t="s">
        <v>461</v>
      </c>
      <c r="D143" s="494"/>
      <c r="E143" s="494"/>
      <c r="F143" s="89"/>
      <c r="G143" s="89"/>
      <c r="H143" s="89"/>
      <c r="I143" s="89"/>
      <c r="J143" s="89"/>
      <c r="K143" s="89"/>
      <c r="L143" s="89"/>
      <c r="M143" s="89"/>
      <c r="N143" s="89"/>
      <c r="O143" s="89"/>
      <c r="P143" s="89"/>
      <c r="Q143" s="89"/>
      <c r="R143" s="89"/>
      <c r="S143" s="89"/>
      <c r="T143" s="89"/>
      <c r="U143" s="89"/>
      <c r="V143" s="89"/>
      <c r="W143" s="89"/>
    </row>
    <row r="144" spans="2:23" ht="14.25" hidden="1" outlineLevel="1">
      <c r="B144" s="437">
        <f t="shared" si="2"/>
        <v>44</v>
      </c>
      <c r="C144" s="255" t="s">
        <v>461</v>
      </c>
      <c r="D144" s="494"/>
      <c r="E144" s="494"/>
      <c r="F144" s="89"/>
      <c r="G144" s="89"/>
      <c r="H144" s="89"/>
      <c r="I144" s="89"/>
      <c r="J144" s="89"/>
      <c r="K144" s="89"/>
      <c r="L144" s="89"/>
      <c r="M144" s="89"/>
      <c r="N144" s="89"/>
      <c r="O144" s="89"/>
      <c r="P144" s="89"/>
      <c r="Q144" s="89"/>
      <c r="R144" s="89"/>
      <c r="S144" s="89"/>
      <c r="T144" s="89"/>
      <c r="U144" s="89"/>
      <c r="V144" s="89"/>
      <c r="W144" s="89"/>
    </row>
    <row r="145" spans="2:23" ht="14.25" hidden="1" outlineLevel="1">
      <c r="B145" s="437">
        <f t="shared" si="2"/>
        <v>45</v>
      </c>
      <c r="C145" s="255" t="s">
        <v>461</v>
      </c>
      <c r="D145" s="494"/>
      <c r="E145" s="494"/>
      <c r="F145" s="89"/>
      <c r="G145" s="89"/>
      <c r="H145" s="89"/>
      <c r="I145" s="89"/>
      <c r="J145" s="89"/>
      <c r="K145" s="89"/>
      <c r="L145" s="89"/>
      <c r="M145" s="89"/>
      <c r="N145" s="89"/>
      <c r="O145" s="89"/>
      <c r="P145" s="89"/>
      <c r="Q145" s="89"/>
      <c r="R145" s="89"/>
      <c r="S145" s="89"/>
      <c r="T145" s="89"/>
      <c r="U145" s="89"/>
      <c r="V145" s="89"/>
      <c r="W145" s="89"/>
    </row>
    <row r="146" spans="2:23" ht="14.25" hidden="1" outlineLevel="1">
      <c r="B146" s="437">
        <f t="shared" si="2"/>
        <v>46</v>
      </c>
      <c r="C146" s="255" t="s">
        <v>461</v>
      </c>
      <c r="D146" s="494"/>
      <c r="E146" s="494"/>
      <c r="F146" s="89"/>
      <c r="G146" s="89"/>
      <c r="H146" s="89"/>
      <c r="I146" s="89"/>
      <c r="J146" s="89"/>
      <c r="K146" s="89"/>
      <c r="L146" s="89"/>
      <c r="M146" s="89"/>
      <c r="N146" s="89"/>
      <c r="O146" s="89"/>
      <c r="P146" s="89"/>
      <c r="Q146" s="89"/>
      <c r="R146" s="89"/>
      <c r="S146" s="89"/>
      <c r="T146" s="89"/>
      <c r="U146" s="89"/>
      <c r="V146" s="89"/>
      <c r="W146" s="89"/>
    </row>
    <row r="147" spans="2:23" ht="14.25" hidden="1" outlineLevel="1">
      <c r="B147" s="437">
        <f t="shared" si="2"/>
        <v>47</v>
      </c>
      <c r="C147" s="255" t="s">
        <v>461</v>
      </c>
      <c r="D147" s="494"/>
      <c r="E147" s="494"/>
      <c r="F147" s="89"/>
      <c r="G147" s="89"/>
      <c r="H147" s="89"/>
      <c r="I147" s="89"/>
      <c r="J147" s="89"/>
      <c r="K147" s="89"/>
      <c r="L147" s="89"/>
      <c r="M147" s="89"/>
      <c r="N147" s="89"/>
      <c r="O147" s="89"/>
      <c r="P147" s="89"/>
      <c r="Q147" s="89"/>
      <c r="R147" s="89"/>
      <c r="S147" s="89"/>
      <c r="T147" s="89"/>
      <c r="U147" s="89"/>
      <c r="V147" s="89"/>
      <c r="W147" s="89"/>
    </row>
    <row r="148" spans="2:23" ht="14.25" hidden="1" outlineLevel="1">
      <c r="B148" s="437">
        <f t="shared" si="2"/>
        <v>48</v>
      </c>
      <c r="C148" s="255" t="s">
        <v>461</v>
      </c>
      <c r="D148" s="494"/>
      <c r="E148" s="494"/>
      <c r="F148" s="89"/>
      <c r="G148" s="89"/>
      <c r="H148" s="89"/>
      <c r="I148" s="89"/>
      <c r="J148" s="89"/>
      <c r="K148" s="89"/>
      <c r="L148" s="89"/>
      <c r="M148" s="89"/>
      <c r="N148" s="89"/>
      <c r="O148" s="89"/>
      <c r="P148" s="89"/>
      <c r="Q148" s="89"/>
      <c r="R148" s="89"/>
      <c r="S148" s="89"/>
      <c r="T148" s="89"/>
      <c r="U148" s="89"/>
      <c r="V148" s="89"/>
      <c r="W148" s="89"/>
    </row>
    <row r="149" spans="2:23" ht="14.25" hidden="1" outlineLevel="1">
      <c r="B149" s="437">
        <f t="shared" si="2"/>
        <v>49</v>
      </c>
      <c r="C149" s="255" t="s">
        <v>461</v>
      </c>
      <c r="D149" s="494"/>
      <c r="E149" s="494"/>
      <c r="F149" s="89"/>
      <c r="G149" s="89"/>
      <c r="H149" s="89"/>
      <c r="I149" s="89"/>
      <c r="J149" s="89"/>
      <c r="K149" s="89"/>
      <c r="L149" s="89"/>
      <c r="M149" s="89"/>
      <c r="N149" s="89"/>
      <c r="O149" s="89"/>
      <c r="P149" s="89"/>
      <c r="Q149" s="89"/>
      <c r="R149" s="89"/>
      <c r="S149" s="89"/>
      <c r="T149" s="89"/>
      <c r="U149" s="89"/>
      <c r="V149" s="89"/>
      <c r="W149" s="89"/>
    </row>
    <row r="150" spans="2:23" ht="14.25" hidden="1" outlineLevel="1">
      <c r="B150" s="437">
        <f t="shared" si="2"/>
        <v>50</v>
      </c>
      <c r="C150" s="255" t="s">
        <v>461</v>
      </c>
      <c r="D150" s="494"/>
      <c r="E150" s="494"/>
      <c r="F150" s="89"/>
      <c r="G150" s="89"/>
      <c r="H150" s="89"/>
      <c r="I150" s="89"/>
      <c r="J150" s="89"/>
      <c r="K150" s="89"/>
      <c r="L150" s="89"/>
      <c r="M150" s="89"/>
      <c r="N150" s="89"/>
      <c r="O150" s="89"/>
      <c r="P150" s="89"/>
      <c r="Q150" s="89"/>
      <c r="R150" s="89"/>
      <c r="S150" s="89"/>
      <c r="T150" s="89"/>
      <c r="U150" s="89"/>
      <c r="V150" s="89"/>
      <c r="W150" s="89"/>
    </row>
    <row r="151" spans="2:23" ht="14.25" hidden="1" outlineLevel="1">
      <c r="B151" s="437">
        <f t="shared" si="2"/>
        <v>51</v>
      </c>
      <c r="C151" s="255" t="s">
        <v>461</v>
      </c>
      <c r="D151" s="494"/>
      <c r="E151" s="494"/>
      <c r="F151" s="89"/>
      <c r="G151" s="89"/>
      <c r="H151" s="89"/>
      <c r="I151" s="89"/>
      <c r="J151" s="89"/>
      <c r="K151" s="89"/>
      <c r="L151" s="89"/>
      <c r="M151" s="89"/>
      <c r="N151" s="89"/>
      <c r="O151" s="89"/>
      <c r="P151" s="89"/>
      <c r="Q151" s="89"/>
      <c r="R151" s="89"/>
      <c r="S151" s="89"/>
      <c r="T151" s="89"/>
      <c r="U151" s="89"/>
      <c r="V151" s="89"/>
      <c r="W151" s="89"/>
    </row>
    <row r="152" spans="2:23" ht="14.25" hidden="1" outlineLevel="1">
      <c r="B152" s="437">
        <f t="shared" si="2"/>
        <v>52</v>
      </c>
      <c r="C152" s="255" t="s">
        <v>461</v>
      </c>
      <c r="D152" s="494"/>
      <c r="E152" s="494"/>
      <c r="F152" s="89"/>
      <c r="G152" s="89"/>
      <c r="H152" s="89"/>
      <c r="I152" s="89"/>
      <c r="J152" s="89"/>
      <c r="K152" s="89"/>
      <c r="L152" s="89"/>
      <c r="M152" s="89"/>
      <c r="N152" s="89"/>
      <c r="O152" s="89"/>
      <c r="P152" s="89"/>
      <c r="Q152" s="89"/>
      <c r="R152" s="89"/>
      <c r="S152" s="89"/>
      <c r="T152" s="89"/>
      <c r="U152" s="89"/>
      <c r="V152" s="89"/>
      <c r="W152" s="89"/>
    </row>
    <row r="153" spans="2:23" ht="14.25" hidden="1" outlineLevel="1">
      <c r="B153" s="437">
        <f t="shared" si="2"/>
        <v>53</v>
      </c>
      <c r="C153" s="255" t="s">
        <v>461</v>
      </c>
      <c r="D153" s="494"/>
      <c r="E153" s="494"/>
      <c r="F153" s="89"/>
      <c r="G153" s="89"/>
      <c r="H153" s="89"/>
      <c r="I153" s="89"/>
      <c r="J153" s="89"/>
      <c r="K153" s="89"/>
      <c r="L153" s="89"/>
      <c r="M153" s="89"/>
      <c r="N153" s="89"/>
      <c r="O153" s="89"/>
      <c r="P153" s="89"/>
      <c r="Q153" s="89"/>
      <c r="R153" s="89"/>
      <c r="S153" s="89"/>
      <c r="T153" s="89"/>
      <c r="U153" s="89"/>
      <c r="V153" s="89"/>
      <c r="W153" s="89"/>
    </row>
    <row r="154" spans="2:23" ht="14.25" hidden="1" outlineLevel="1">
      <c r="B154" s="437">
        <f t="shared" si="2"/>
        <v>54</v>
      </c>
      <c r="C154" s="255" t="s">
        <v>461</v>
      </c>
      <c r="D154" s="494"/>
      <c r="E154" s="494"/>
      <c r="F154" s="89"/>
      <c r="G154" s="89"/>
      <c r="H154" s="89"/>
      <c r="I154" s="89"/>
      <c r="J154" s="89"/>
      <c r="K154" s="89"/>
      <c r="L154" s="89"/>
      <c r="M154" s="89"/>
      <c r="N154" s="89"/>
      <c r="O154" s="89"/>
      <c r="P154" s="89"/>
      <c r="Q154" s="89"/>
      <c r="R154" s="89"/>
      <c r="S154" s="89"/>
      <c r="T154" s="89"/>
      <c r="U154" s="89"/>
      <c r="V154" s="89"/>
      <c r="W154" s="89"/>
    </row>
    <row r="155" spans="2:23" ht="14.25" hidden="1" outlineLevel="1">
      <c r="B155" s="437">
        <f t="shared" si="2"/>
        <v>55</v>
      </c>
      <c r="C155" s="255" t="s">
        <v>461</v>
      </c>
      <c r="D155" s="494"/>
      <c r="E155" s="494"/>
      <c r="F155" s="89"/>
      <c r="G155" s="89"/>
      <c r="H155" s="89"/>
      <c r="I155" s="89"/>
      <c r="J155" s="89"/>
      <c r="K155" s="89"/>
      <c r="L155" s="89"/>
      <c r="M155" s="89"/>
      <c r="N155" s="89"/>
      <c r="O155" s="89"/>
      <c r="P155" s="89"/>
      <c r="Q155" s="89"/>
      <c r="R155" s="89"/>
      <c r="S155" s="89"/>
      <c r="T155" s="89"/>
      <c r="U155" s="89"/>
      <c r="V155" s="89"/>
      <c r="W155" s="89"/>
    </row>
    <row r="156" spans="2:23" ht="14.25" hidden="1" outlineLevel="1">
      <c r="B156" s="437">
        <f t="shared" si="2"/>
        <v>56</v>
      </c>
      <c r="C156" s="255" t="s">
        <v>461</v>
      </c>
      <c r="D156" s="494"/>
      <c r="E156" s="494"/>
      <c r="F156" s="89"/>
      <c r="G156" s="89"/>
      <c r="H156" s="89"/>
      <c r="I156" s="89"/>
      <c r="J156" s="89"/>
      <c r="K156" s="89"/>
      <c r="L156" s="89"/>
      <c r="M156" s="89"/>
      <c r="N156" s="89"/>
      <c r="O156" s="89"/>
      <c r="P156" s="89"/>
      <c r="Q156" s="89"/>
      <c r="R156" s="89"/>
      <c r="S156" s="89"/>
      <c r="T156" s="89"/>
      <c r="U156" s="89"/>
      <c r="V156" s="89"/>
      <c r="W156" s="89"/>
    </row>
    <row r="157" spans="2:23" ht="14.25" hidden="1" outlineLevel="1">
      <c r="B157" s="437">
        <f t="shared" si="2"/>
        <v>57</v>
      </c>
      <c r="C157" s="255" t="s">
        <v>461</v>
      </c>
      <c r="D157" s="494"/>
      <c r="E157" s="494"/>
      <c r="F157" s="89"/>
      <c r="G157" s="89"/>
      <c r="H157" s="89"/>
      <c r="I157" s="89"/>
      <c r="J157" s="89"/>
      <c r="K157" s="89"/>
      <c r="L157" s="89"/>
      <c r="M157" s="89"/>
      <c r="N157" s="89"/>
      <c r="O157" s="89"/>
      <c r="P157" s="89"/>
      <c r="Q157" s="89"/>
      <c r="R157" s="89"/>
      <c r="S157" s="89"/>
      <c r="T157" s="89"/>
      <c r="U157" s="89"/>
      <c r="V157" s="89"/>
      <c r="W157" s="89"/>
    </row>
    <row r="158" spans="2:23" ht="14.25" hidden="1" outlineLevel="1">
      <c r="B158" s="437">
        <f t="shared" si="2"/>
        <v>58</v>
      </c>
      <c r="C158" s="255" t="s">
        <v>461</v>
      </c>
      <c r="D158" s="494"/>
      <c r="E158" s="494"/>
      <c r="F158" s="89"/>
      <c r="G158" s="89"/>
      <c r="H158" s="89"/>
      <c r="I158" s="89"/>
      <c r="J158" s="89"/>
      <c r="K158" s="89"/>
      <c r="L158" s="89"/>
      <c r="M158" s="89"/>
      <c r="N158" s="89"/>
      <c r="O158" s="89"/>
      <c r="P158" s="89"/>
      <c r="Q158" s="89"/>
      <c r="R158" s="89"/>
      <c r="S158" s="89"/>
      <c r="T158" s="89"/>
      <c r="U158" s="89"/>
      <c r="V158" s="89"/>
      <c r="W158" s="89"/>
    </row>
    <row r="159" spans="2:23" ht="14.25" hidden="1" outlineLevel="1">
      <c r="B159" s="437">
        <f t="shared" si="2"/>
        <v>59</v>
      </c>
      <c r="C159" s="255" t="s">
        <v>461</v>
      </c>
      <c r="D159" s="494"/>
      <c r="E159" s="494"/>
      <c r="F159" s="89"/>
      <c r="G159" s="89"/>
      <c r="H159" s="89"/>
      <c r="I159" s="89"/>
      <c r="J159" s="89"/>
      <c r="K159" s="89"/>
      <c r="L159" s="89"/>
      <c r="M159" s="89"/>
      <c r="N159" s="89"/>
      <c r="O159" s="89"/>
      <c r="P159" s="89"/>
      <c r="Q159" s="89"/>
      <c r="R159" s="89"/>
      <c r="S159" s="89"/>
      <c r="T159" s="89"/>
      <c r="U159" s="89"/>
      <c r="V159" s="89"/>
      <c r="W159" s="89"/>
    </row>
    <row r="160" spans="2:23" ht="14.25" hidden="1" outlineLevel="1">
      <c r="B160" s="437">
        <f t="shared" si="2"/>
        <v>60</v>
      </c>
      <c r="C160" s="255" t="s">
        <v>461</v>
      </c>
      <c r="D160" s="494"/>
      <c r="E160" s="494"/>
      <c r="F160" s="89"/>
      <c r="G160" s="89"/>
      <c r="H160" s="89"/>
      <c r="I160" s="89"/>
      <c r="J160" s="89"/>
      <c r="K160" s="89"/>
      <c r="L160" s="89"/>
      <c r="M160" s="89"/>
      <c r="N160" s="89"/>
      <c r="O160" s="89"/>
      <c r="P160" s="89"/>
      <c r="Q160" s="89"/>
      <c r="R160" s="89"/>
      <c r="S160" s="89"/>
      <c r="T160" s="89"/>
      <c r="U160" s="89"/>
      <c r="V160" s="89"/>
      <c r="W160" s="89"/>
    </row>
    <row r="161" spans="2:23" ht="14.25" hidden="1" outlineLevel="1">
      <c r="B161" s="437">
        <f t="shared" si="2"/>
        <v>61</v>
      </c>
      <c r="C161" s="255" t="s">
        <v>461</v>
      </c>
      <c r="D161" s="494"/>
      <c r="E161" s="494"/>
      <c r="F161" s="89"/>
      <c r="G161" s="89"/>
      <c r="H161" s="89"/>
      <c r="I161" s="89"/>
      <c r="J161" s="89"/>
      <c r="K161" s="89"/>
      <c r="L161" s="89"/>
      <c r="M161" s="89"/>
      <c r="N161" s="89"/>
      <c r="O161" s="89"/>
      <c r="P161" s="89"/>
      <c r="Q161" s="89"/>
      <c r="R161" s="89"/>
      <c r="S161" s="89"/>
      <c r="T161" s="89"/>
      <c r="U161" s="89"/>
      <c r="V161" s="89"/>
      <c r="W161" s="89"/>
    </row>
    <row r="162" spans="2:23" ht="14.25" hidden="1" outlineLevel="1">
      <c r="B162" s="437">
        <f t="shared" si="2"/>
        <v>62</v>
      </c>
      <c r="C162" s="255" t="s">
        <v>461</v>
      </c>
      <c r="D162" s="494"/>
      <c r="E162" s="494"/>
      <c r="F162" s="89"/>
      <c r="G162" s="89"/>
      <c r="H162" s="89"/>
      <c r="I162" s="89"/>
      <c r="J162" s="89"/>
      <c r="K162" s="89"/>
      <c r="L162" s="89"/>
      <c r="M162" s="89"/>
      <c r="N162" s="89"/>
      <c r="O162" s="89"/>
      <c r="P162" s="89"/>
      <c r="Q162" s="89"/>
      <c r="R162" s="89"/>
      <c r="S162" s="89"/>
      <c r="T162" s="89"/>
      <c r="U162" s="89"/>
      <c r="V162" s="89"/>
      <c r="W162" s="89"/>
    </row>
    <row r="163" spans="2:23" ht="14.25" hidden="1" outlineLevel="1">
      <c r="B163" s="437">
        <f t="shared" si="2"/>
        <v>63</v>
      </c>
      <c r="C163" s="255" t="s">
        <v>461</v>
      </c>
      <c r="D163" s="494"/>
      <c r="E163" s="494"/>
      <c r="F163" s="89"/>
      <c r="G163" s="89"/>
      <c r="H163" s="89"/>
      <c r="I163" s="89"/>
      <c r="J163" s="89"/>
      <c r="K163" s="89"/>
      <c r="L163" s="89"/>
      <c r="M163" s="89"/>
      <c r="N163" s="89"/>
      <c r="O163" s="89"/>
      <c r="P163" s="89"/>
      <c r="Q163" s="89"/>
      <c r="R163" s="89"/>
      <c r="S163" s="89"/>
      <c r="T163" s="89"/>
      <c r="U163" s="89"/>
      <c r="V163" s="89"/>
      <c r="W163" s="89"/>
    </row>
    <row r="164" spans="2:23" ht="14.25" hidden="1" outlineLevel="1">
      <c r="B164" s="437">
        <f t="shared" si="2"/>
        <v>64</v>
      </c>
      <c r="C164" s="255" t="s">
        <v>461</v>
      </c>
      <c r="D164" s="494"/>
      <c r="E164" s="494"/>
      <c r="F164" s="89"/>
      <c r="G164" s="89"/>
      <c r="H164" s="89"/>
      <c r="I164" s="89"/>
      <c r="J164" s="89"/>
      <c r="K164" s="89"/>
      <c r="L164" s="89"/>
      <c r="M164" s="89"/>
      <c r="N164" s="89"/>
      <c r="O164" s="89"/>
      <c r="P164" s="89"/>
      <c r="Q164" s="89"/>
      <c r="R164" s="89"/>
      <c r="S164" s="89"/>
      <c r="T164" s="89"/>
      <c r="U164" s="89"/>
      <c r="V164" s="89"/>
      <c r="W164" s="89"/>
    </row>
    <row r="165" spans="2:23" ht="14.25" hidden="1" outlineLevel="1">
      <c r="B165" s="437">
        <f t="shared" si="2"/>
        <v>65</v>
      </c>
      <c r="C165" s="255" t="s">
        <v>461</v>
      </c>
      <c r="D165" s="494"/>
      <c r="E165" s="494"/>
      <c r="F165" s="89"/>
      <c r="G165" s="89"/>
      <c r="H165" s="89"/>
      <c r="I165" s="89"/>
      <c r="J165" s="89"/>
      <c r="K165" s="89"/>
      <c r="L165" s="89"/>
      <c r="M165" s="89"/>
      <c r="N165" s="89"/>
      <c r="O165" s="89"/>
      <c r="P165" s="89"/>
      <c r="Q165" s="89"/>
      <c r="R165" s="89"/>
      <c r="S165" s="89"/>
      <c r="T165" s="89"/>
      <c r="U165" s="89"/>
      <c r="V165" s="89"/>
      <c r="W165" s="89"/>
    </row>
    <row r="166" spans="2:23" ht="14.25" hidden="1" outlineLevel="1">
      <c r="B166" s="437">
        <f t="shared" si="2"/>
        <v>66</v>
      </c>
      <c r="C166" s="255" t="s">
        <v>461</v>
      </c>
      <c r="D166" s="494"/>
      <c r="E166" s="494"/>
      <c r="F166" s="89"/>
      <c r="G166" s="89"/>
      <c r="H166" s="89"/>
      <c r="I166" s="89"/>
      <c r="J166" s="89"/>
      <c r="K166" s="89"/>
      <c r="L166" s="89"/>
      <c r="M166" s="89"/>
      <c r="N166" s="89"/>
      <c r="O166" s="89"/>
      <c r="P166" s="89"/>
      <c r="Q166" s="89"/>
      <c r="R166" s="89"/>
      <c r="S166" s="89"/>
      <c r="T166" s="89"/>
      <c r="U166" s="89"/>
      <c r="V166" s="89"/>
      <c r="W166" s="89"/>
    </row>
    <row r="167" spans="2:23" ht="14.25" hidden="1" outlineLevel="1">
      <c r="B167" s="437">
        <f t="shared" ref="B167:B180" si="3">1+B166</f>
        <v>67</v>
      </c>
      <c r="C167" s="255" t="s">
        <v>461</v>
      </c>
      <c r="D167" s="494"/>
      <c r="E167" s="494"/>
      <c r="F167" s="89"/>
      <c r="G167" s="89"/>
      <c r="H167" s="89"/>
      <c r="I167" s="89"/>
      <c r="J167" s="89"/>
      <c r="K167" s="89"/>
      <c r="L167" s="89"/>
      <c r="M167" s="89"/>
      <c r="N167" s="89"/>
      <c r="O167" s="89"/>
      <c r="P167" s="89"/>
      <c r="Q167" s="89"/>
      <c r="R167" s="89"/>
      <c r="S167" s="89"/>
      <c r="T167" s="89"/>
      <c r="U167" s="89"/>
      <c r="V167" s="89"/>
      <c r="W167" s="89"/>
    </row>
    <row r="168" spans="2:23" ht="14.25" hidden="1" outlineLevel="1">
      <c r="B168" s="437">
        <f t="shared" si="3"/>
        <v>68</v>
      </c>
      <c r="C168" s="255" t="s">
        <v>461</v>
      </c>
      <c r="D168" s="494"/>
      <c r="E168" s="494"/>
      <c r="F168" s="89"/>
      <c r="G168" s="89"/>
      <c r="H168" s="89"/>
      <c r="I168" s="89"/>
      <c r="J168" s="89"/>
      <c r="K168" s="89"/>
      <c r="L168" s="89"/>
      <c r="M168" s="89"/>
      <c r="N168" s="89"/>
      <c r="O168" s="89"/>
      <c r="P168" s="89"/>
      <c r="Q168" s="89"/>
      <c r="R168" s="89"/>
      <c r="S168" s="89"/>
      <c r="T168" s="89"/>
      <c r="U168" s="89"/>
      <c r="V168" s="89"/>
      <c r="W168" s="89"/>
    </row>
    <row r="169" spans="2:23" ht="14.25" hidden="1" outlineLevel="1">
      <c r="B169" s="437">
        <f t="shared" si="3"/>
        <v>69</v>
      </c>
      <c r="C169" s="255" t="s">
        <v>461</v>
      </c>
      <c r="D169" s="494"/>
      <c r="E169" s="494"/>
      <c r="F169" s="89"/>
      <c r="G169" s="89"/>
      <c r="H169" s="89"/>
      <c r="I169" s="89"/>
      <c r="J169" s="89"/>
      <c r="K169" s="89"/>
      <c r="L169" s="89"/>
      <c r="M169" s="89"/>
      <c r="N169" s="89"/>
      <c r="O169" s="89"/>
      <c r="P169" s="89"/>
      <c r="Q169" s="89"/>
      <c r="R169" s="89"/>
      <c r="S169" s="89"/>
      <c r="T169" s="89"/>
      <c r="U169" s="89"/>
      <c r="V169" s="89"/>
      <c r="W169" s="89"/>
    </row>
    <row r="170" spans="2:23" ht="14.25" hidden="1" outlineLevel="1">
      <c r="B170" s="437">
        <f t="shared" si="3"/>
        <v>70</v>
      </c>
      <c r="C170" s="255" t="s">
        <v>461</v>
      </c>
      <c r="D170" s="494"/>
      <c r="E170" s="494"/>
      <c r="F170" s="89"/>
      <c r="G170" s="89"/>
      <c r="H170" s="89"/>
      <c r="I170" s="89"/>
      <c r="J170" s="89"/>
      <c r="K170" s="89"/>
      <c r="L170" s="89"/>
      <c r="M170" s="89"/>
      <c r="N170" s="89"/>
      <c r="O170" s="89"/>
      <c r="P170" s="89"/>
      <c r="Q170" s="89"/>
      <c r="R170" s="89"/>
      <c r="S170" s="89"/>
      <c r="T170" s="89"/>
      <c r="U170" s="89"/>
      <c r="V170" s="89"/>
      <c r="W170" s="89"/>
    </row>
    <row r="171" spans="2:23" ht="14.25" hidden="1" outlineLevel="1">
      <c r="B171" s="437">
        <f t="shared" si="3"/>
        <v>71</v>
      </c>
      <c r="C171" s="255" t="s">
        <v>461</v>
      </c>
      <c r="D171" s="494"/>
      <c r="E171" s="494"/>
      <c r="F171" s="89"/>
      <c r="G171" s="89"/>
      <c r="H171" s="89"/>
      <c r="I171" s="89"/>
      <c r="J171" s="89"/>
      <c r="K171" s="89"/>
      <c r="L171" s="89"/>
      <c r="M171" s="89"/>
      <c r="N171" s="89"/>
      <c r="O171" s="89"/>
      <c r="P171" s="89"/>
      <c r="Q171" s="89"/>
      <c r="R171" s="89"/>
      <c r="S171" s="89"/>
      <c r="T171" s="89"/>
      <c r="U171" s="89"/>
      <c r="V171" s="89"/>
      <c r="W171" s="89"/>
    </row>
    <row r="172" spans="2:23" ht="14.25" hidden="1" outlineLevel="1">
      <c r="B172" s="437">
        <f t="shared" si="3"/>
        <v>72</v>
      </c>
      <c r="C172" s="255" t="s">
        <v>461</v>
      </c>
      <c r="D172" s="494"/>
      <c r="E172" s="494"/>
      <c r="F172" s="89"/>
      <c r="G172" s="89"/>
      <c r="H172" s="89"/>
      <c r="I172" s="89"/>
      <c r="J172" s="89"/>
      <c r="K172" s="89"/>
      <c r="L172" s="89"/>
      <c r="M172" s="89"/>
      <c r="N172" s="89"/>
      <c r="O172" s="89"/>
      <c r="P172" s="89"/>
      <c r="Q172" s="89"/>
      <c r="R172" s="89"/>
      <c r="S172" s="89"/>
      <c r="T172" s="89"/>
      <c r="U172" s="89"/>
      <c r="V172" s="89"/>
      <c r="W172" s="89"/>
    </row>
    <row r="173" spans="2:23" ht="14.25" hidden="1" outlineLevel="1">
      <c r="B173" s="437">
        <f t="shared" si="3"/>
        <v>73</v>
      </c>
      <c r="C173" s="255" t="s">
        <v>461</v>
      </c>
      <c r="D173" s="494"/>
      <c r="E173" s="494"/>
      <c r="F173" s="89"/>
      <c r="G173" s="89"/>
      <c r="H173" s="89"/>
      <c r="I173" s="89"/>
      <c r="J173" s="89"/>
      <c r="K173" s="89"/>
      <c r="L173" s="89"/>
      <c r="M173" s="89"/>
      <c r="N173" s="89"/>
      <c r="O173" s="89"/>
      <c r="P173" s="89"/>
      <c r="Q173" s="89"/>
      <c r="R173" s="89"/>
      <c r="S173" s="89"/>
      <c r="T173" s="89"/>
      <c r="U173" s="89"/>
      <c r="V173" s="89"/>
      <c r="W173" s="89"/>
    </row>
    <row r="174" spans="2:23" ht="14.25" hidden="1" outlineLevel="1">
      <c r="B174" s="437">
        <f t="shared" si="3"/>
        <v>74</v>
      </c>
      <c r="C174" s="255" t="s">
        <v>461</v>
      </c>
      <c r="D174" s="494"/>
      <c r="E174" s="494"/>
      <c r="F174" s="89"/>
      <c r="G174" s="89"/>
      <c r="H174" s="89"/>
      <c r="I174" s="89"/>
      <c r="J174" s="89"/>
      <c r="K174" s="89"/>
      <c r="L174" s="89"/>
      <c r="M174" s="89"/>
      <c r="N174" s="89"/>
      <c r="O174" s="89"/>
      <c r="P174" s="89"/>
      <c r="Q174" s="89"/>
      <c r="R174" s="89"/>
      <c r="S174" s="89"/>
      <c r="T174" s="89"/>
      <c r="U174" s="89"/>
      <c r="V174" s="89"/>
      <c r="W174" s="89"/>
    </row>
    <row r="175" spans="2:23" ht="14.25" hidden="1" outlineLevel="1">
      <c r="B175" s="437">
        <f t="shared" si="3"/>
        <v>75</v>
      </c>
      <c r="C175" s="255" t="s">
        <v>461</v>
      </c>
      <c r="D175" s="494"/>
      <c r="E175" s="494"/>
      <c r="F175" s="89"/>
      <c r="G175" s="89"/>
      <c r="H175" s="89"/>
      <c r="I175" s="89"/>
      <c r="J175" s="89"/>
      <c r="K175" s="89"/>
      <c r="L175" s="89"/>
      <c r="M175" s="89"/>
      <c r="N175" s="89"/>
      <c r="O175" s="89"/>
      <c r="P175" s="89"/>
      <c r="Q175" s="89"/>
      <c r="R175" s="89"/>
      <c r="S175" s="89"/>
      <c r="T175" s="89"/>
      <c r="U175" s="89"/>
      <c r="V175" s="89"/>
      <c r="W175" s="89"/>
    </row>
    <row r="176" spans="2:23" ht="14.25" hidden="1" outlineLevel="1">
      <c r="B176" s="437">
        <f t="shared" si="3"/>
        <v>76</v>
      </c>
      <c r="C176" s="255" t="s">
        <v>461</v>
      </c>
      <c r="D176" s="494"/>
      <c r="E176" s="494"/>
      <c r="F176" s="89"/>
      <c r="G176" s="89"/>
      <c r="H176" s="89"/>
      <c r="I176" s="89"/>
      <c r="J176" s="89"/>
      <c r="K176" s="89"/>
      <c r="L176" s="89"/>
      <c r="M176" s="89"/>
      <c r="N176" s="89"/>
      <c r="O176" s="89"/>
      <c r="P176" s="89"/>
      <c r="Q176" s="89"/>
      <c r="R176" s="89"/>
      <c r="S176" s="89"/>
      <c r="T176" s="89"/>
      <c r="U176" s="89"/>
      <c r="V176" s="89"/>
      <c r="W176" s="89"/>
    </row>
    <row r="177" spans="2:43" ht="14.25" hidden="1" outlineLevel="1">
      <c r="B177" s="437">
        <f t="shared" si="3"/>
        <v>77</v>
      </c>
      <c r="C177" s="255" t="s">
        <v>461</v>
      </c>
      <c r="D177" s="494"/>
      <c r="E177" s="494"/>
      <c r="F177" s="89"/>
      <c r="G177" s="89"/>
      <c r="H177" s="89"/>
      <c r="I177" s="89"/>
      <c r="J177" s="89"/>
      <c r="K177" s="89"/>
      <c r="L177" s="89"/>
      <c r="M177" s="89"/>
      <c r="N177" s="89"/>
      <c r="O177" s="89"/>
      <c r="P177" s="89"/>
      <c r="Q177" s="89"/>
      <c r="R177" s="89"/>
      <c r="S177" s="89"/>
      <c r="T177" s="89"/>
      <c r="U177" s="89"/>
      <c r="V177" s="89"/>
      <c r="W177" s="89"/>
    </row>
    <row r="178" spans="2:43" ht="14.25" hidden="1" outlineLevel="1">
      <c r="B178" s="437">
        <f t="shared" si="3"/>
        <v>78</v>
      </c>
      <c r="C178" s="255" t="s">
        <v>461</v>
      </c>
      <c r="D178" s="494"/>
      <c r="E178" s="494"/>
      <c r="F178" s="89"/>
      <c r="G178" s="89"/>
      <c r="H178" s="89"/>
      <c r="I178" s="89"/>
      <c r="J178" s="89"/>
      <c r="K178" s="89"/>
      <c r="L178" s="89"/>
      <c r="M178" s="89"/>
      <c r="N178" s="89"/>
      <c r="O178" s="89"/>
      <c r="P178" s="89"/>
      <c r="Q178" s="89"/>
      <c r="R178" s="89"/>
      <c r="S178" s="89"/>
      <c r="T178" s="89"/>
      <c r="U178" s="89"/>
      <c r="V178" s="89"/>
      <c r="W178" s="89"/>
    </row>
    <row r="179" spans="2:43" ht="14.25" hidden="1" outlineLevel="1">
      <c r="B179" s="437">
        <f t="shared" si="3"/>
        <v>79</v>
      </c>
      <c r="C179" s="255" t="s">
        <v>461</v>
      </c>
      <c r="D179" s="494"/>
      <c r="E179" s="494"/>
      <c r="F179" s="89"/>
      <c r="G179" s="89"/>
      <c r="H179" s="89"/>
      <c r="I179" s="89"/>
      <c r="J179" s="89"/>
      <c r="K179" s="89"/>
      <c r="L179" s="89"/>
      <c r="M179" s="89"/>
      <c r="N179" s="89"/>
      <c r="O179" s="89"/>
      <c r="P179" s="89"/>
      <c r="Q179" s="89"/>
      <c r="R179" s="89"/>
      <c r="S179" s="89"/>
      <c r="T179" s="89"/>
      <c r="U179" s="89"/>
      <c r="V179" s="89"/>
      <c r="W179" s="89"/>
    </row>
    <row r="180" spans="2:43" ht="14.25" collapsed="1">
      <c r="B180" s="437">
        <f t="shared" si="3"/>
        <v>80</v>
      </c>
      <c r="C180" s="255" t="s">
        <v>461</v>
      </c>
      <c r="D180" s="494"/>
      <c r="E180" s="494"/>
      <c r="F180" s="89"/>
      <c r="G180" s="89"/>
      <c r="H180" s="89"/>
      <c r="I180" s="89"/>
      <c r="J180" s="89"/>
      <c r="K180" s="89"/>
      <c r="L180" s="89"/>
      <c r="M180" s="89"/>
      <c r="N180" s="89"/>
      <c r="O180" s="89"/>
      <c r="P180" s="89"/>
      <c r="Q180" s="89"/>
      <c r="R180" s="89"/>
      <c r="S180" s="89"/>
      <c r="T180" s="89"/>
      <c r="U180" s="89"/>
      <c r="V180" s="89"/>
      <c r="W180" s="89"/>
    </row>
    <row r="181" spans="2:43" ht="12">
      <c r="B181" s="251"/>
      <c r="C181" s="488"/>
    </row>
    <row r="182" spans="2:43" ht="12">
      <c r="B182" s="251"/>
      <c r="C182" s="251" t="s">
        <v>998</v>
      </c>
    </row>
    <row r="183" spans="2:43" ht="12">
      <c r="B183" s="251"/>
      <c r="C183" s="488"/>
    </row>
    <row r="184" spans="2:43" ht="15.75">
      <c r="C184" s="489" t="s">
        <v>1039</v>
      </c>
      <c r="D184" s="452"/>
      <c r="E184" s="452"/>
      <c r="F184" s="452"/>
      <c r="G184" s="453"/>
    </row>
    <row r="185" spans="2:43" ht="12">
      <c r="C185" s="251"/>
    </row>
    <row r="186" spans="2:43" ht="36">
      <c r="B186" s="251"/>
      <c r="C186" s="266" t="s">
        <v>1043</v>
      </c>
      <c r="D186" s="499" t="s">
        <v>1069</v>
      </c>
      <c r="E186" s="500" t="s">
        <v>1044</v>
      </c>
      <c r="F186" s="553" t="s">
        <v>1067</v>
      </c>
      <c r="G186" s="554"/>
      <c r="H186" s="554"/>
      <c r="I186" s="555"/>
      <c r="J186" s="564" t="s">
        <v>1046</v>
      </c>
      <c r="K186" s="564"/>
      <c r="L186" s="501" t="s">
        <v>1047</v>
      </c>
      <c r="M186" s="502" t="s">
        <v>1048</v>
      </c>
      <c r="N186" s="553" t="s">
        <v>1049</v>
      </c>
      <c r="O186" s="554"/>
      <c r="P186" s="554"/>
      <c r="Q186" s="554"/>
      <c r="R186" s="554"/>
      <c r="S186" s="554"/>
      <c r="T186" s="554"/>
      <c r="U186" s="555"/>
      <c r="V186" s="503" t="s">
        <v>1050</v>
      </c>
      <c r="W186" s="503"/>
      <c r="X186" s="503" t="s">
        <v>1070</v>
      </c>
      <c r="Y186" s="503" t="s">
        <v>1044</v>
      </c>
      <c r="Z186" s="564" t="s">
        <v>1067</v>
      </c>
      <c r="AA186" s="564"/>
      <c r="AB186" s="564"/>
      <c r="AC186" s="564"/>
      <c r="AD186" s="565" t="s">
        <v>1046</v>
      </c>
      <c r="AE186" s="565"/>
      <c r="AF186" s="501" t="s">
        <v>1047</v>
      </c>
      <c r="AG186" s="502" t="s">
        <v>1048</v>
      </c>
      <c r="AH186" s="553" t="s">
        <v>1049</v>
      </c>
      <c r="AI186" s="554"/>
      <c r="AJ186" s="554"/>
      <c r="AK186" s="554"/>
      <c r="AL186" s="554"/>
      <c r="AM186" s="554"/>
      <c r="AN186" s="554"/>
      <c r="AO186" s="555"/>
      <c r="AP186" s="500" t="s">
        <v>1050</v>
      </c>
      <c r="AQ186" s="500"/>
    </row>
    <row r="187" spans="2:43" ht="48">
      <c r="B187" s="251"/>
      <c r="C187" s="430" t="s">
        <v>461</v>
      </c>
      <c r="D187" s="480" t="s">
        <v>1071</v>
      </c>
      <c r="E187" s="480" t="s">
        <v>1044</v>
      </c>
      <c r="F187" s="480" t="s">
        <v>1051</v>
      </c>
      <c r="G187" s="480" t="s">
        <v>1052</v>
      </c>
      <c r="H187" s="480" t="s">
        <v>1053</v>
      </c>
      <c r="I187" s="493" t="s">
        <v>1054</v>
      </c>
      <c r="J187" s="430" t="s">
        <v>1046</v>
      </c>
      <c r="K187" s="430" t="s">
        <v>1055</v>
      </c>
      <c r="L187" s="480" t="s">
        <v>739</v>
      </c>
      <c r="M187" s="480" t="s">
        <v>1056</v>
      </c>
      <c r="N187" s="480" t="s">
        <v>1057</v>
      </c>
      <c r="O187" s="480" t="s">
        <v>1058</v>
      </c>
      <c r="P187" s="480" t="s">
        <v>1059</v>
      </c>
      <c r="Q187" s="480" t="s">
        <v>1060</v>
      </c>
      <c r="R187" s="480" t="s">
        <v>1061</v>
      </c>
      <c r="S187" s="480" t="s">
        <v>1062</v>
      </c>
      <c r="T187" s="480" t="s">
        <v>1063</v>
      </c>
      <c r="U187" s="480" t="s">
        <v>1064</v>
      </c>
      <c r="V187" s="480" t="s">
        <v>1065</v>
      </c>
      <c r="W187" s="480" t="s">
        <v>1066</v>
      </c>
      <c r="X187" s="480" t="s">
        <v>1072</v>
      </c>
      <c r="Y187" s="480" t="s">
        <v>1044</v>
      </c>
      <c r="Z187" s="480" t="s">
        <v>1051</v>
      </c>
      <c r="AA187" s="480" t="s">
        <v>1052</v>
      </c>
      <c r="AB187" s="480" t="s">
        <v>1053</v>
      </c>
      <c r="AC187" s="504" t="s">
        <v>1054</v>
      </c>
      <c r="AD187" s="430" t="s">
        <v>1046</v>
      </c>
      <c r="AE187" s="430" t="s">
        <v>1055</v>
      </c>
      <c r="AF187" s="480" t="s">
        <v>739</v>
      </c>
      <c r="AG187" s="480" t="s">
        <v>1056</v>
      </c>
      <c r="AH187" s="480" t="s">
        <v>1057</v>
      </c>
      <c r="AI187" s="480" t="s">
        <v>1058</v>
      </c>
      <c r="AJ187" s="480" t="s">
        <v>1059</v>
      </c>
      <c r="AK187" s="480" t="s">
        <v>1060</v>
      </c>
      <c r="AL187" s="480" t="s">
        <v>1061</v>
      </c>
      <c r="AM187" s="480" t="s">
        <v>1062</v>
      </c>
      <c r="AN187" s="480" t="s">
        <v>1063</v>
      </c>
      <c r="AO187" s="480" t="s">
        <v>1064</v>
      </c>
      <c r="AP187" s="480" t="s">
        <v>1065</v>
      </c>
      <c r="AQ187" s="480" t="s">
        <v>1066</v>
      </c>
    </row>
    <row r="188" spans="2:43" ht="14.25">
      <c r="B188" s="437">
        <v>1</v>
      </c>
      <c r="C188" s="255" t="s">
        <v>180</v>
      </c>
      <c r="D188" s="494">
        <v>328.44</v>
      </c>
      <c r="E188" s="495">
        <v>130</v>
      </c>
      <c r="F188" s="483">
        <v>13</v>
      </c>
      <c r="G188" s="483">
        <v>4</v>
      </c>
      <c r="H188" s="483">
        <v>1</v>
      </c>
      <c r="I188" s="483">
        <v>16</v>
      </c>
      <c r="J188" s="487">
        <v>0</v>
      </c>
      <c r="K188" s="487">
        <v>102</v>
      </c>
      <c r="L188" s="89"/>
      <c r="M188" s="89"/>
      <c r="N188" s="89"/>
      <c r="O188" s="89"/>
      <c r="P188" s="89"/>
      <c r="Q188" s="89"/>
      <c r="R188" s="89"/>
      <c r="S188" s="89"/>
      <c r="T188" s="89"/>
      <c r="U188" s="89"/>
      <c r="V188" s="89"/>
      <c r="W188" s="89"/>
      <c r="X188" s="494"/>
      <c r="Y188" s="494"/>
      <c r="Z188" s="89"/>
      <c r="AA188" s="89"/>
      <c r="AB188" s="89"/>
      <c r="AC188" s="89"/>
      <c r="AD188" s="447"/>
      <c r="AE188" s="447"/>
      <c r="AF188" s="89"/>
      <c r="AG188" s="89"/>
      <c r="AH188" s="89"/>
      <c r="AI188" s="89"/>
      <c r="AJ188" s="89"/>
      <c r="AK188" s="89"/>
      <c r="AL188" s="89"/>
      <c r="AM188" s="89"/>
      <c r="AN188" s="89"/>
      <c r="AO188" s="89"/>
      <c r="AP188" s="89"/>
      <c r="AQ188" s="89"/>
    </row>
    <row r="189" spans="2:43" ht="14.25">
      <c r="B189" s="437">
        <f>1+B188</f>
        <v>2</v>
      </c>
      <c r="C189" s="255" t="s">
        <v>182</v>
      </c>
      <c r="D189" s="494">
        <v>367.29</v>
      </c>
      <c r="E189" s="495">
        <v>147</v>
      </c>
      <c r="F189" s="483">
        <v>17</v>
      </c>
      <c r="G189" s="483">
        <v>3</v>
      </c>
      <c r="H189" s="483">
        <v>1</v>
      </c>
      <c r="I189" s="483">
        <v>17</v>
      </c>
      <c r="J189" s="483">
        <v>131</v>
      </c>
      <c r="K189" s="483">
        <v>0</v>
      </c>
      <c r="L189" s="89"/>
      <c r="M189" s="89"/>
      <c r="N189" s="89"/>
      <c r="O189" s="89"/>
      <c r="P189" s="89"/>
      <c r="Q189" s="89"/>
      <c r="R189" s="89"/>
      <c r="S189" s="89"/>
      <c r="T189" s="89"/>
      <c r="U189" s="89"/>
      <c r="V189" s="89"/>
      <c r="W189" s="89"/>
      <c r="X189" s="494"/>
      <c r="Y189" s="494"/>
      <c r="Z189" s="89"/>
      <c r="AA189" s="89"/>
      <c r="AB189" s="89"/>
      <c r="AC189" s="89"/>
      <c r="AD189" s="89"/>
      <c r="AE189" s="89"/>
      <c r="AF189" s="89"/>
      <c r="AG189" s="89"/>
      <c r="AH189" s="89"/>
      <c r="AI189" s="89"/>
      <c r="AJ189" s="89"/>
      <c r="AK189" s="89"/>
      <c r="AL189" s="89"/>
      <c r="AM189" s="89"/>
      <c r="AN189" s="89"/>
      <c r="AO189" s="89"/>
      <c r="AP189" s="89"/>
      <c r="AQ189" s="89"/>
    </row>
    <row r="190" spans="2:43" ht="14.25">
      <c r="B190" s="437">
        <f t="shared" ref="B190:B253" si="4">1+B189</f>
        <v>3</v>
      </c>
      <c r="C190" s="255" t="s">
        <v>184</v>
      </c>
      <c r="D190" s="494">
        <v>421.32</v>
      </c>
      <c r="E190" s="495">
        <v>159</v>
      </c>
      <c r="F190" s="483">
        <v>16</v>
      </c>
      <c r="G190" s="483">
        <v>3</v>
      </c>
      <c r="H190" s="483">
        <v>1</v>
      </c>
      <c r="I190" s="483">
        <v>18</v>
      </c>
      <c r="J190" s="483">
        <v>291</v>
      </c>
      <c r="K190" s="483">
        <v>0</v>
      </c>
      <c r="L190" s="89"/>
      <c r="M190" s="89"/>
      <c r="N190" s="89"/>
      <c r="O190" s="89"/>
      <c r="P190" s="89"/>
      <c r="Q190" s="89"/>
      <c r="R190" s="89"/>
      <c r="S190" s="89"/>
      <c r="T190" s="89"/>
      <c r="U190" s="89"/>
      <c r="V190" s="89"/>
      <c r="W190" s="89"/>
      <c r="X190" s="494"/>
      <c r="Y190" s="494"/>
      <c r="Z190" s="89"/>
      <c r="AA190" s="89"/>
      <c r="AB190" s="89"/>
      <c r="AC190" s="89"/>
      <c r="AD190" s="89"/>
      <c r="AE190" s="89"/>
      <c r="AF190" s="89"/>
      <c r="AG190" s="89"/>
      <c r="AH190" s="89"/>
      <c r="AI190" s="89"/>
      <c r="AJ190" s="89"/>
      <c r="AK190" s="89"/>
      <c r="AL190" s="89"/>
      <c r="AM190" s="89"/>
      <c r="AN190" s="89"/>
      <c r="AO190" s="89"/>
      <c r="AP190" s="89"/>
      <c r="AQ190" s="89"/>
    </row>
    <row r="191" spans="2:43" ht="14.25" hidden="1">
      <c r="B191" s="437">
        <f t="shared" si="4"/>
        <v>4</v>
      </c>
      <c r="C191" s="255" t="s">
        <v>461</v>
      </c>
      <c r="D191" s="494"/>
      <c r="E191" s="494"/>
      <c r="F191" s="89"/>
      <c r="G191" s="89"/>
      <c r="H191" s="89"/>
      <c r="I191" s="89"/>
      <c r="J191" s="89"/>
      <c r="K191" s="89"/>
      <c r="L191" s="89"/>
      <c r="M191" s="89"/>
      <c r="N191" s="89"/>
      <c r="O191" s="89"/>
      <c r="P191" s="89"/>
      <c r="Q191" s="89"/>
      <c r="R191" s="89"/>
      <c r="S191" s="89"/>
      <c r="T191" s="89"/>
      <c r="U191" s="89"/>
      <c r="V191" s="89"/>
      <c r="W191" s="89"/>
      <c r="X191" s="494"/>
      <c r="Y191" s="494"/>
      <c r="Z191" s="89"/>
      <c r="AA191" s="89"/>
      <c r="AB191" s="89"/>
      <c r="AC191" s="89"/>
      <c r="AD191" s="89"/>
      <c r="AE191" s="89"/>
      <c r="AF191" s="89"/>
      <c r="AG191" s="89"/>
      <c r="AH191" s="89"/>
      <c r="AI191" s="89"/>
      <c r="AJ191" s="89"/>
      <c r="AK191" s="89"/>
      <c r="AL191" s="89"/>
      <c r="AM191" s="89"/>
      <c r="AN191" s="89"/>
      <c r="AO191" s="89"/>
      <c r="AP191" s="89"/>
      <c r="AQ191" s="89"/>
    </row>
    <row r="192" spans="2:43" ht="14.25" hidden="1">
      <c r="B192" s="437">
        <f t="shared" si="4"/>
        <v>5</v>
      </c>
      <c r="C192" s="255" t="s">
        <v>461</v>
      </c>
      <c r="D192" s="494"/>
      <c r="E192" s="494"/>
      <c r="F192" s="89"/>
      <c r="G192" s="89"/>
      <c r="H192" s="89"/>
      <c r="I192" s="89"/>
      <c r="J192" s="89"/>
      <c r="K192" s="89"/>
      <c r="L192" s="89"/>
      <c r="M192" s="89"/>
      <c r="N192" s="89"/>
      <c r="O192" s="89"/>
      <c r="P192" s="89"/>
      <c r="Q192" s="89"/>
      <c r="R192" s="89"/>
      <c r="S192" s="89"/>
      <c r="T192" s="89"/>
      <c r="U192" s="89"/>
      <c r="V192" s="89"/>
      <c r="W192" s="89"/>
      <c r="X192" s="494"/>
      <c r="Y192" s="494"/>
      <c r="Z192" s="89"/>
      <c r="AA192" s="89"/>
      <c r="AB192" s="89"/>
      <c r="AC192" s="89"/>
      <c r="AD192" s="89"/>
      <c r="AE192" s="89"/>
      <c r="AF192" s="89"/>
      <c r="AG192" s="89"/>
      <c r="AH192" s="89"/>
      <c r="AI192" s="89"/>
      <c r="AJ192" s="89"/>
      <c r="AK192" s="89"/>
      <c r="AL192" s="89"/>
      <c r="AM192" s="89"/>
      <c r="AN192" s="89"/>
      <c r="AO192" s="89"/>
      <c r="AP192" s="89"/>
      <c r="AQ192" s="89"/>
    </row>
    <row r="193" spans="2:43" ht="14.25" hidden="1">
      <c r="B193" s="437">
        <f t="shared" si="4"/>
        <v>6</v>
      </c>
      <c r="C193" s="255" t="s">
        <v>461</v>
      </c>
      <c r="D193" s="494"/>
      <c r="E193" s="494"/>
      <c r="F193" s="89"/>
      <c r="G193" s="89"/>
      <c r="H193" s="89"/>
      <c r="I193" s="89"/>
      <c r="J193" s="89"/>
      <c r="K193" s="89"/>
      <c r="L193" s="89"/>
      <c r="M193" s="89"/>
      <c r="N193" s="89"/>
      <c r="O193" s="89"/>
      <c r="P193" s="89"/>
      <c r="Q193" s="89"/>
      <c r="R193" s="89"/>
      <c r="S193" s="89"/>
      <c r="T193" s="89"/>
      <c r="U193" s="89"/>
      <c r="V193" s="89"/>
      <c r="W193" s="89"/>
      <c r="X193" s="494"/>
      <c r="Y193" s="494"/>
      <c r="Z193" s="89"/>
      <c r="AA193" s="89"/>
      <c r="AB193" s="89"/>
      <c r="AC193" s="89"/>
      <c r="AD193" s="89"/>
      <c r="AE193" s="89"/>
      <c r="AF193" s="89"/>
      <c r="AG193" s="89"/>
      <c r="AH193" s="89"/>
      <c r="AI193" s="89"/>
      <c r="AJ193" s="89"/>
      <c r="AK193" s="89"/>
      <c r="AL193" s="89"/>
      <c r="AM193" s="89"/>
      <c r="AN193" s="89"/>
      <c r="AO193" s="89"/>
      <c r="AP193" s="89"/>
      <c r="AQ193" s="89"/>
    </row>
    <row r="194" spans="2:43" ht="14.25" hidden="1">
      <c r="B194" s="437">
        <f t="shared" si="4"/>
        <v>7</v>
      </c>
      <c r="C194" s="255" t="s">
        <v>461</v>
      </c>
      <c r="D194" s="494"/>
      <c r="E194" s="494"/>
      <c r="F194" s="89"/>
      <c r="G194" s="89"/>
      <c r="H194" s="89"/>
      <c r="I194" s="89"/>
      <c r="J194" s="89"/>
      <c r="K194" s="89"/>
      <c r="L194" s="89"/>
      <c r="M194" s="89"/>
      <c r="N194" s="89"/>
      <c r="O194" s="89"/>
      <c r="P194" s="89"/>
      <c r="Q194" s="89"/>
      <c r="R194" s="89"/>
      <c r="S194" s="89"/>
      <c r="T194" s="89"/>
      <c r="U194" s="89"/>
      <c r="V194" s="89"/>
      <c r="W194" s="89"/>
      <c r="X194" s="494"/>
      <c r="Y194" s="494"/>
      <c r="Z194" s="89"/>
      <c r="AA194" s="89"/>
      <c r="AB194" s="89"/>
      <c r="AC194" s="89"/>
      <c r="AD194" s="89"/>
      <c r="AE194" s="89"/>
      <c r="AF194" s="89"/>
      <c r="AG194" s="89"/>
      <c r="AH194" s="89"/>
      <c r="AI194" s="89"/>
      <c r="AJ194" s="89"/>
      <c r="AK194" s="89"/>
      <c r="AL194" s="89"/>
      <c r="AM194" s="89"/>
      <c r="AN194" s="89"/>
      <c r="AO194" s="89"/>
      <c r="AP194" s="89"/>
      <c r="AQ194" s="89"/>
    </row>
    <row r="195" spans="2:43" ht="14.25" hidden="1">
      <c r="B195" s="437">
        <f t="shared" si="4"/>
        <v>8</v>
      </c>
      <c r="C195" s="255" t="s">
        <v>461</v>
      </c>
      <c r="D195" s="494"/>
      <c r="E195" s="494"/>
      <c r="F195" s="89"/>
      <c r="G195" s="89"/>
      <c r="H195" s="89"/>
      <c r="I195" s="89"/>
      <c r="J195" s="89"/>
      <c r="K195" s="89"/>
      <c r="L195" s="89"/>
      <c r="M195" s="89"/>
      <c r="N195" s="89"/>
      <c r="O195" s="89"/>
      <c r="P195" s="89"/>
      <c r="Q195" s="89"/>
      <c r="R195" s="89"/>
      <c r="S195" s="89"/>
      <c r="T195" s="89"/>
      <c r="U195" s="89"/>
      <c r="V195" s="89"/>
      <c r="W195" s="89"/>
      <c r="X195" s="494"/>
      <c r="Y195" s="494"/>
      <c r="Z195" s="89"/>
      <c r="AA195" s="89"/>
      <c r="AB195" s="89"/>
      <c r="AC195" s="89"/>
      <c r="AD195" s="89"/>
      <c r="AE195" s="89"/>
      <c r="AF195" s="89"/>
      <c r="AG195" s="89"/>
      <c r="AH195" s="89"/>
      <c r="AI195" s="89"/>
      <c r="AJ195" s="89"/>
      <c r="AK195" s="89"/>
      <c r="AL195" s="89"/>
      <c r="AM195" s="89"/>
      <c r="AN195" s="89"/>
      <c r="AO195" s="89"/>
      <c r="AP195" s="89"/>
      <c r="AQ195" s="89"/>
    </row>
    <row r="196" spans="2:43" ht="14.25" hidden="1">
      <c r="B196" s="437">
        <f t="shared" si="4"/>
        <v>9</v>
      </c>
      <c r="C196" s="255" t="s">
        <v>461</v>
      </c>
      <c r="D196" s="494"/>
      <c r="E196" s="494"/>
      <c r="F196" s="89"/>
      <c r="G196" s="89"/>
      <c r="H196" s="89"/>
      <c r="I196" s="89"/>
      <c r="J196" s="89"/>
      <c r="K196" s="89"/>
      <c r="L196" s="89"/>
      <c r="M196" s="89"/>
      <c r="N196" s="89"/>
      <c r="O196" s="89"/>
      <c r="P196" s="89"/>
      <c r="Q196" s="89"/>
      <c r="R196" s="89"/>
      <c r="S196" s="89"/>
      <c r="T196" s="89"/>
      <c r="U196" s="89"/>
      <c r="V196" s="89"/>
      <c r="W196" s="89"/>
      <c r="X196" s="494"/>
      <c r="Y196" s="494"/>
      <c r="Z196" s="89"/>
      <c r="AA196" s="89"/>
      <c r="AB196" s="89"/>
      <c r="AC196" s="89"/>
      <c r="AD196" s="89"/>
      <c r="AE196" s="89"/>
      <c r="AF196" s="89"/>
      <c r="AG196" s="89"/>
      <c r="AH196" s="89"/>
      <c r="AI196" s="89"/>
      <c r="AJ196" s="89"/>
      <c r="AK196" s="89"/>
      <c r="AL196" s="89"/>
      <c r="AM196" s="89"/>
      <c r="AN196" s="89"/>
      <c r="AO196" s="89"/>
      <c r="AP196" s="89"/>
      <c r="AQ196" s="89"/>
    </row>
    <row r="197" spans="2:43" ht="14.65" hidden="1" customHeight="1" outlineLevel="1">
      <c r="B197" s="437">
        <f t="shared" si="4"/>
        <v>10</v>
      </c>
      <c r="C197" s="255" t="s">
        <v>461</v>
      </c>
      <c r="D197" s="494"/>
      <c r="E197" s="494"/>
      <c r="F197" s="89"/>
      <c r="G197" s="89"/>
      <c r="H197" s="89"/>
      <c r="I197" s="89"/>
      <c r="J197" s="89"/>
      <c r="K197" s="89"/>
      <c r="L197" s="89"/>
      <c r="M197" s="89"/>
      <c r="N197" s="89"/>
      <c r="O197" s="89"/>
      <c r="P197" s="89"/>
      <c r="Q197" s="89"/>
      <c r="R197" s="89"/>
      <c r="S197" s="89"/>
      <c r="T197" s="89"/>
      <c r="U197" s="89"/>
      <c r="V197" s="89"/>
      <c r="W197" s="89"/>
      <c r="X197" s="494"/>
      <c r="Y197" s="494"/>
      <c r="Z197" s="89"/>
      <c r="AA197" s="89"/>
      <c r="AB197" s="89"/>
      <c r="AC197" s="89"/>
      <c r="AD197" s="89"/>
      <c r="AE197" s="89"/>
      <c r="AF197" s="89"/>
      <c r="AG197" s="89"/>
      <c r="AH197" s="89"/>
      <c r="AI197" s="89"/>
      <c r="AJ197" s="89"/>
      <c r="AK197" s="89"/>
      <c r="AL197" s="89"/>
      <c r="AM197" s="89"/>
      <c r="AN197" s="89"/>
      <c r="AO197" s="89"/>
      <c r="AP197" s="89"/>
      <c r="AQ197" s="89"/>
    </row>
    <row r="198" spans="2:43" ht="14.65" hidden="1" customHeight="1" outlineLevel="1">
      <c r="B198" s="437">
        <f t="shared" si="4"/>
        <v>11</v>
      </c>
      <c r="C198" s="255" t="s">
        <v>461</v>
      </c>
      <c r="D198" s="494"/>
      <c r="E198" s="494"/>
      <c r="F198" s="89"/>
      <c r="G198" s="89"/>
      <c r="H198" s="89"/>
      <c r="I198" s="89"/>
      <c r="J198" s="89"/>
      <c r="K198" s="89"/>
      <c r="L198" s="89"/>
      <c r="M198" s="89"/>
      <c r="N198" s="89"/>
      <c r="O198" s="89"/>
      <c r="P198" s="89"/>
      <c r="Q198" s="89"/>
      <c r="R198" s="89"/>
      <c r="S198" s="89"/>
      <c r="T198" s="89"/>
      <c r="U198" s="89"/>
      <c r="V198" s="89"/>
      <c r="W198" s="89"/>
      <c r="X198" s="494"/>
      <c r="Y198" s="494"/>
      <c r="Z198" s="89"/>
      <c r="AA198" s="89"/>
      <c r="AB198" s="89"/>
      <c r="AC198" s="89"/>
      <c r="AD198" s="89"/>
      <c r="AE198" s="89"/>
      <c r="AF198" s="89"/>
      <c r="AG198" s="89"/>
      <c r="AH198" s="89"/>
      <c r="AI198" s="89"/>
      <c r="AJ198" s="89"/>
      <c r="AK198" s="89"/>
      <c r="AL198" s="89"/>
      <c r="AM198" s="89"/>
      <c r="AN198" s="89"/>
      <c r="AO198" s="89"/>
      <c r="AP198" s="89"/>
      <c r="AQ198" s="89"/>
    </row>
    <row r="199" spans="2:43" ht="14.65" hidden="1" customHeight="1" outlineLevel="1">
      <c r="B199" s="437">
        <f t="shared" si="4"/>
        <v>12</v>
      </c>
      <c r="C199" s="255" t="s">
        <v>461</v>
      </c>
      <c r="D199" s="494"/>
      <c r="E199" s="494"/>
      <c r="F199" s="89"/>
      <c r="G199" s="89"/>
      <c r="H199" s="89"/>
      <c r="I199" s="89"/>
      <c r="J199" s="89"/>
      <c r="K199" s="89"/>
      <c r="L199" s="89"/>
      <c r="M199" s="89"/>
      <c r="N199" s="89"/>
      <c r="O199" s="89"/>
      <c r="P199" s="89"/>
      <c r="Q199" s="89"/>
      <c r="R199" s="89"/>
      <c r="S199" s="89"/>
      <c r="T199" s="89"/>
      <c r="U199" s="89"/>
      <c r="V199" s="89"/>
      <c r="W199" s="89"/>
      <c r="X199" s="494"/>
      <c r="Y199" s="494"/>
      <c r="Z199" s="89"/>
      <c r="AA199" s="89"/>
      <c r="AB199" s="89"/>
      <c r="AC199" s="89"/>
      <c r="AD199" s="89"/>
      <c r="AE199" s="89"/>
      <c r="AF199" s="89"/>
      <c r="AG199" s="89"/>
      <c r="AH199" s="89"/>
      <c r="AI199" s="89"/>
      <c r="AJ199" s="89"/>
      <c r="AK199" s="89"/>
      <c r="AL199" s="89"/>
      <c r="AM199" s="89"/>
      <c r="AN199" s="89"/>
      <c r="AO199" s="89"/>
      <c r="AP199" s="89"/>
      <c r="AQ199" s="89"/>
    </row>
    <row r="200" spans="2:43" ht="14.65" hidden="1" customHeight="1" outlineLevel="1">
      <c r="B200" s="437">
        <f t="shared" si="4"/>
        <v>13</v>
      </c>
      <c r="C200" s="255" t="s">
        <v>461</v>
      </c>
      <c r="D200" s="494"/>
      <c r="E200" s="494"/>
      <c r="F200" s="89"/>
      <c r="G200" s="89"/>
      <c r="H200" s="89"/>
      <c r="I200" s="89"/>
      <c r="J200" s="89"/>
      <c r="K200" s="89"/>
      <c r="L200" s="89"/>
      <c r="M200" s="89"/>
      <c r="N200" s="89"/>
      <c r="O200" s="89"/>
      <c r="P200" s="89"/>
      <c r="Q200" s="89"/>
      <c r="R200" s="89"/>
      <c r="S200" s="89"/>
      <c r="T200" s="89"/>
      <c r="U200" s="89"/>
      <c r="V200" s="89"/>
      <c r="W200" s="89"/>
      <c r="X200" s="494"/>
      <c r="Y200" s="494"/>
      <c r="Z200" s="89"/>
      <c r="AA200" s="89"/>
      <c r="AB200" s="89"/>
      <c r="AC200" s="89"/>
      <c r="AD200" s="89"/>
      <c r="AE200" s="89"/>
      <c r="AF200" s="89"/>
      <c r="AG200" s="89"/>
      <c r="AH200" s="89"/>
      <c r="AI200" s="89"/>
      <c r="AJ200" s="89"/>
      <c r="AK200" s="89"/>
      <c r="AL200" s="89"/>
      <c r="AM200" s="89"/>
      <c r="AN200" s="89"/>
      <c r="AO200" s="89"/>
      <c r="AP200" s="89"/>
      <c r="AQ200" s="89"/>
    </row>
    <row r="201" spans="2:43" ht="14.65" hidden="1" customHeight="1" outlineLevel="1">
      <c r="B201" s="437">
        <f t="shared" si="4"/>
        <v>14</v>
      </c>
      <c r="C201" s="255" t="s">
        <v>461</v>
      </c>
      <c r="D201" s="494"/>
      <c r="E201" s="494"/>
      <c r="F201" s="89"/>
      <c r="G201" s="89"/>
      <c r="H201" s="89"/>
      <c r="I201" s="89"/>
      <c r="J201" s="89"/>
      <c r="K201" s="89"/>
      <c r="L201" s="89"/>
      <c r="M201" s="89"/>
      <c r="N201" s="89"/>
      <c r="O201" s="89"/>
      <c r="P201" s="89"/>
      <c r="Q201" s="89"/>
      <c r="R201" s="89"/>
      <c r="S201" s="89"/>
      <c r="T201" s="89"/>
      <c r="U201" s="89"/>
      <c r="V201" s="89"/>
      <c r="W201" s="89"/>
      <c r="X201" s="494"/>
      <c r="Y201" s="494"/>
      <c r="Z201" s="89"/>
      <c r="AA201" s="89"/>
      <c r="AB201" s="89"/>
      <c r="AC201" s="89"/>
      <c r="AD201" s="89"/>
      <c r="AE201" s="89"/>
      <c r="AF201" s="89"/>
      <c r="AG201" s="89"/>
      <c r="AH201" s="89"/>
      <c r="AI201" s="89"/>
      <c r="AJ201" s="89"/>
      <c r="AK201" s="89"/>
      <c r="AL201" s="89"/>
      <c r="AM201" s="89"/>
      <c r="AN201" s="89"/>
      <c r="AO201" s="89"/>
      <c r="AP201" s="89"/>
      <c r="AQ201" s="89"/>
    </row>
    <row r="202" spans="2:43" ht="14.65" hidden="1" customHeight="1" outlineLevel="1">
      <c r="B202" s="437">
        <f t="shared" si="4"/>
        <v>15</v>
      </c>
      <c r="C202" s="255" t="s">
        <v>461</v>
      </c>
      <c r="D202" s="494"/>
      <c r="E202" s="494"/>
      <c r="F202" s="89"/>
      <c r="G202" s="89"/>
      <c r="H202" s="89"/>
      <c r="I202" s="89"/>
      <c r="J202" s="89"/>
      <c r="K202" s="89"/>
      <c r="L202" s="89"/>
      <c r="M202" s="89"/>
      <c r="N202" s="89"/>
      <c r="O202" s="89"/>
      <c r="P202" s="89"/>
      <c r="Q202" s="89"/>
      <c r="R202" s="89"/>
      <c r="S202" s="89"/>
      <c r="T202" s="89"/>
      <c r="U202" s="89"/>
      <c r="V202" s="89"/>
      <c r="W202" s="89"/>
      <c r="X202" s="494"/>
      <c r="Y202" s="494"/>
      <c r="Z202" s="89"/>
      <c r="AA202" s="89"/>
      <c r="AB202" s="89"/>
      <c r="AC202" s="89"/>
      <c r="AD202" s="89"/>
      <c r="AE202" s="89"/>
      <c r="AF202" s="89"/>
      <c r="AG202" s="89"/>
      <c r="AH202" s="89"/>
      <c r="AI202" s="89"/>
      <c r="AJ202" s="89"/>
      <c r="AK202" s="89"/>
      <c r="AL202" s="89"/>
      <c r="AM202" s="89"/>
      <c r="AN202" s="89"/>
      <c r="AO202" s="89"/>
      <c r="AP202" s="89"/>
      <c r="AQ202" s="89"/>
    </row>
    <row r="203" spans="2:43" ht="14.65" hidden="1" customHeight="1" outlineLevel="1">
      <c r="B203" s="437">
        <f t="shared" si="4"/>
        <v>16</v>
      </c>
      <c r="C203" s="255" t="s">
        <v>461</v>
      </c>
      <c r="D203" s="494"/>
      <c r="E203" s="494"/>
      <c r="F203" s="89"/>
      <c r="G203" s="89"/>
      <c r="H203" s="89"/>
      <c r="I203" s="89"/>
      <c r="J203" s="89"/>
      <c r="K203" s="89"/>
      <c r="L203" s="89"/>
      <c r="M203" s="89"/>
      <c r="N203" s="89"/>
      <c r="O203" s="89"/>
      <c r="P203" s="89"/>
      <c r="Q203" s="89"/>
      <c r="R203" s="89"/>
      <c r="S203" s="89"/>
      <c r="T203" s="89"/>
      <c r="U203" s="89"/>
      <c r="V203" s="89"/>
      <c r="W203" s="89"/>
      <c r="X203" s="494"/>
      <c r="Y203" s="494"/>
      <c r="Z203" s="89"/>
      <c r="AA203" s="89"/>
      <c r="AB203" s="89"/>
      <c r="AC203" s="89"/>
      <c r="AD203" s="89"/>
      <c r="AE203" s="89"/>
      <c r="AF203" s="89"/>
      <c r="AG203" s="89"/>
      <c r="AH203" s="89"/>
      <c r="AI203" s="89"/>
      <c r="AJ203" s="89"/>
      <c r="AK203" s="89"/>
      <c r="AL203" s="89"/>
      <c r="AM203" s="89"/>
      <c r="AN203" s="89"/>
      <c r="AO203" s="89"/>
      <c r="AP203" s="89"/>
      <c r="AQ203" s="89"/>
    </row>
    <row r="204" spans="2:43" ht="14.65" hidden="1" customHeight="1" outlineLevel="1">
      <c r="B204" s="437">
        <f t="shared" si="4"/>
        <v>17</v>
      </c>
      <c r="C204" s="255" t="s">
        <v>461</v>
      </c>
      <c r="D204" s="494"/>
      <c r="E204" s="494"/>
      <c r="F204" s="89"/>
      <c r="G204" s="89"/>
      <c r="H204" s="89"/>
      <c r="I204" s="89"/>
      <c r="J204" s="89"/>
      <c r="K204" s="89"/>
      <c r="L204" s="89"/>
      <c r="M204" s="89"/>
      <c r="N204" s="89"/>
      <c r="O204" s="89"/>
      <c r="P204" s="89"/>
      <c r="Q204" s="89"/>
      <c r="R204" s="89"/>
      <c r="S204" s="89"/>
      <c r="T204" s="89"/>
      <c r="U204" s="89"/>
      <c r="V204" s="89"/>
      <c r="W204" s="89"/>
      <c r="X204" s="494"/>
      <c r="Y204" s="494"/>
      <c r="Z204" s="89"/>
      <c r="AA204" s="89"/>
      <c r="AB204" s="89"/>
      <c r="AC204" s="89"/>
      <c r="AD204" s="89"/>
      <c r="AE204" s="89"/>
      <c r="AF204" s="89"/>
      <c r="AG204" s="89"/>
      <c r="AH204" s="89"/>
      <c r="AI204" s="89"/>
      <c r="AJ204" s="89"/>
      <c r="AK204" s="89"/>
      <c r="AL204" s="89"/>
      <c r="AM204" s="89"/>
      <c r="AN204" s="89"/>
      <c r="AO204" s="89"/>
      <c r="AP204" s="89"/>
      <c r="AQ204" s="89"/>
    </row>
    <row r="205" spans="2:43" ht="14.65" hidden="1" customHeight="1" outlineLevel="1">
      <c r="B205" s="437">
        <f t="shared" si="4"/>
        <v>18</v>
      </c>
      <c r="C205" s="255" t="s">
        <v>461</v>
      </c>
      <c r="D205" s="494"/>
      <c r="E205" s="494"/>
      <c r="F205" s="89"/>
      <c r="G205" s="89"/>
      <c r="H205" s="89"/>
      <c r="I205" s="89"/>
      <c r="J205" s="89"/>
      <c r="K205" s="89"/>
      <c r="L205" s="89"/>
      <c r="M205" s="89"/>
      <c r="N205" s="89"/>
      <c r="O205" s="89"/>
      <c r="P205" s="89"/>
      <c r="Q205" s="89"/>
      <c r="R205" s="89"/>
      <c r="S205" s="89"/>
      <c r="T205" s="89"/>
      <c r="U205" s="89"/>
      <c r="V205" s="89"/>
      <c r="W205" s="89"/>
      <c r="X205" s="494"/>
      <c r="Y205" s="494"/>
      <c r="Z205" s="89"/>
      <c r="AA205" s="89"/>
      <c r="AB205" s="89"/>
      <c r="AC205" s="89"/>
      <c r="AD205" s="89"/>
      <c r="AE205" s="89"/>
      <c r="AF205" s="89"/>
      <c r="AG205" s="89"/>
      <c r="AH205" s="89"/>
      <c r="AI205" s="89"/>
      <c r="AJ205" s="89"/>
      <c r="AK205" s="89"/>
      <c r="AL205" s="89"/>
      <c r="AM205" s="89"/>
      <c r="AN205" s="89"/>
      <c r="AO205" s="89"/>
      <c r="AP205" s="89"/>
      <c r="AQ205" s="89"/>
    </row>
    <row r="206" spans="2:43" ht="14.65" hidden="1" customHeight="1" outlineLevel="1">
      <c r="B206" s="437">
        <f t="shared" si="4"/>
        <v>19</v>
      </c>
      <c r="C206" s="255" t="s">
        <v>461</v>
      </c>
      <c r="D206" s="494"/>
      <c r="E206" s="494"/>
      <c r="F206" s="89"/>
      <c r="G206" s="89"/>
      <c r="H206" s="89"/>
      <c r="I206" s="89"/>
      <c r="J206" s="89"/>
      <c r="K206" s="89"/>
      <c r="L206" s="89"/>
      <c r="M206" s="89"/>
      <c r="N206" s="89"/>
      <c r="O206" s="89"/>
      <c r="P206" s="89"/>
      <c r="Q206" s="89"/>
      <c r="R206" s="89"/>
      <c r="S206" s="89"/>
      <c r="T206" s="89"/>
      <c r="U206" s="89"/>
      <c r="V206" s="89"/>
      <c r="W206" s="89"/>
      <c r="X206" s="494"/>
      <c r="Y206" s="494"/>
      <c r="Z206" s="89"/>
      <c r="AA206" s="89"/>
      <c r="AB206" s="89"/>
      <c r="AC206" s="89"/>
      <c r="AD206" s="89"/>
      <c r="AE206" s="89"/>
      <c r="AF206" s="89"/>
      <c r="AG206" s="89"/>
      <c r="AH206" s="89"/>
      <c r="AI206" s="89"/>
      <c r="AJ206" s="89"/>
      <c r="AK206" s="89"/>
      <c r="AL206" s="89"/>
      <c r="AM206" s="89"/>
      <c r="AN206" s="89"/>
      <c r="AO206" s="89"/>
      <c r="AP206" s="89"/>
      <c r="AQ206" s="89"/>
    </row>
    <row r="207" spans="2:43" ht="14.65" hidden="1" customHeight="1" outlineLevel="1">
      <c r="B207" s="437">
        <f t="shared" si="4"/>
        <v>20</v>
      </c>
      <c r="C207" s="255" t="s">
        <v>461</v>
      </c>
      <c r="D207" s="494"/>
      <c r="E207" s="494"/>
      <c r="F207" s="89"/>
      <c r="G207" s="89"/>
      <c r="H207" s="89"/>
      <c r="I207" s="89"/>
      <c r="J207" s="89"/>
      <c r="K207" s="89"/>
      <c r="L207" s="89"/>
      <c r="M207" s="89"/>
      <c r="N207" s="89"/>
      <c r="O207" s="89"/>
      <c r="P207" s="89"/>
      <c r="Q207" s="89"/>
      <c r="R207" s="89"/>
      <c r="S207" s="89"/>
      <c r="T207" s="89"/>
      <c r="U207" s="89"/>
      <c r="V207" s="89"/>
      <c r="W207" s="89"/>
      <c r="X207" s="494"/>
      <c r="Y207" s="494"/>
      <c r="Z207" s="89"/>
      <c r="AA207" s="89"/>
      <c r="AB207" s="89"/>
      <c r="AC207" s="89"/>
      <c r="AD207" s="89"/>
      <c r="AE207" s="89"/>
      <c r="AF207" s="89"/>
      <c r="AG207" s="89"/>
      <c r="AH207" s="89"/>
      <c r="AI207" s="89"/>
      <c r="AJ207" s="89"/>
      <c r="AK207" s="89"/>
      <c r="AL207" s="89"/>
      <c r="AM207" s="89"/>
      <c r="AN207" s="89"/>
      <c r="AO207" s="89"/>
      <c r="AP207" s="89"/>
      <c r="AQ207" s="89"/>
    </row>
    <row r="208" spans="2:43" ht="14.65" hidden="1" customHeight="1" outlineLevel="1">
      <c r="B208" s="437">
        <f t="shared" si="4"/>
        <v>21</v>
      </c>
      <c r="C208" s="255" t="s">
        <v>461</v>
      </c>
      <c r="D208" s="494"/>
      <c r="E208" s="494"/>
      <c r="F208" s="89"/>
      <c r="G208" s="89"/>
      <c r="H208" s="89"/>
      <c r="I208" s="89"/>
      <c r="J208" s="89"/>
      <c r="K208" s="89"/>
      <c r="L208" s="89"/>
      <c r="M208" s="89"/>
      <c r="N208" s="89"/>
      <c r="O208" s="89"/>
      <c r="P208" s="89"/>
      <c r="Q208" s="89"/>
      <c r="R208" s="89"/>
      <c r="S208" s="89"/>
      <c r="T208" s="89"/>
      <c r="U208" s="89"/>
      <c r="V208" s="89"/>
      <c r="W208" s="89"/>
      <c r="X208" s="494"/>
      <c r="Y208" s="494"/>
      <c r="Z208" s="89"/>
      <c r="AA208" s="89"/>
      <c r="AB208" s="89"/>
      <c r="AC208" s="89"/>
      <c r="AD208" s="89"/>
      <c r="AE208" s="89"/>
      <c r="AF208" s="89"/>
      <c r="AG208" s="89"/>
      <c r="AH208" s="89"/>
      <c r="AI208" s="89"/>
      <c r="AJ208" s="89"/>
      <c r="AK208" s="89"/>
      <c r="AL208" s="89"/>
      <c r="AM208" s="89"/>
      <c r="AN208" s="89"/>
      <c r="AO208" s="89"/>
      <c r="AP208" s="89"/>
      <c r="AQ208" s="89"/>
    </row>
    <row r="209" spans="2:43" ht="14.65" hidden="1" customHeight="1" outlineLevel="1">
      <c r="B209" s="437">
        <f t="shared" si="4"/>
        <v>22</v>
      </c>
      <c r="C209" s="255" t="s">
        <v>461</v>
      </c>
      <c r="D209" s="494"/>
      <c r="E209" s="494"/>
      <c r="F209" s="89"/>
      <c r="G209" s="89"/>
      <c r="H209" s="89"/>
      <c r="I209" s="89"/>
      <c r="J209" s="89"/>
      <c r="K209" s="89"/>
      <c r="L209" s="89"/>
      <c r="M209" s="89"/>
      <c r="N209" s="89"/>
      <c r="O209" s="89"/>
      <c r="P209" s="89"/>
      <c r="Q209" s="89"/>
      <c r="R209" s="89"/>
      <c r="S209" s="89"/>
      <c r="T209" s="89"/>
      <c r="U209" s="89"/>
      <c r="V209" s="89"/>
      <c r="W209" s="89"/>
      <c r="X209" s="494"/>
      <c r="Y209" s="494"/>
      <c r="Z209" s="89"/>
      <c r="AA209" s="89"/>
      <c r="AB209" s="89"/>
      <c r="AC209" s="89"/>
      <c r="AD209" s="89"/>
      <c r="AE209" s="89"/>
      <c r="AF209" s="89"/>
      <c r="AG209" s="89"/>
      <c r="AH209" s="89"/>
      <c r="AI209" s="89"/>
      <c r="AJ209" s="89"/>
      <c r="AK209" s="89"/>
      <c r="AL209" s="89"/>
      <c r="AM209" s="89"/>
      <c r="AN209" s="89"/>
      <c r="AO209" s="89"/>
      <c r="AP209" s="89"/>
      <c r="AQ209" s="89"/>
    </row>
    <row r="210" spans="2:43" ht="14.65" hidden="1" customHeight="1" outlineLevel="1">
      <c r="B210" s="437">
        <f t="shared" si="4"/>
        <v>23</v>
      </c>
      <c r="C210" s="255" t="s">
        <v>461</v>
      </c>
      <c r="D210" s="494"/>
      <c r="E210" s="494"/>
      <c r="F210" s="89"/>
      <c r="G210" s="89"/>
      <c r="H210" s="89"/>
      <c r="I210" s="89"/>
      <c r="J210" s="89"/>
      <c r="K210" s="89"/>
      <c r="L210" s="89"/>
      <c r="M210" s="89"/>
      <c r="N210" s="89"/>
      <c r="O210" s="89"/>
      <c r="P210" s="89"/>
      <c r="Q210" s="89"/>
      <c r="R210" s="89"/>
      <c r="S210" s="89"/>
      <c r="T210" s="89"/>
      <c r="U210" s="89"/>
      <c r="V210" s="89"/>
      <c r="W210" s="89"/>
      <c r="X210" s="494"/>
      <c r="Y210" s="494"/>
      <c r="Z210" s="89"/>
      <c r="AA210" s="89"/>
      <c r="AB210" s="89"/>
      <c r="AC210" s="89"/>
      <c r="AD210" s="89"/>
      <c r="AE210" s="89"/>
      <c r="AF210" s="89"/>
      <c r="AG210" s="89"/>
      <c r="AH210" s="89"/>
      <c r="AI210" s="89"/>
      <c r="AJ210" s="89"/>
      <c r="AK210" s="89"/>
      <c r="AL210" s="89"/>
      <c r="AM210" s="89"/>
      <c r="AN210" s="89"/>
      <c r="AO210" s="89"/>
      <c r="AP210" s="89"/>
      <c r="AQ210" s="89"/>
    </row>
    <row r="211" spans="2:43" ht="14.65" hidden="1" customHeight="1" outlineLevel="1">
      <c r="B211" s="437">
        <f t="shared" si="4"/>
        <v>24</v>
      </c>
      <c r="C211" s="255" t="s">
        <v>461</v>
      </c>
      <c r="D211" s="494"/>
      <c r="E211" s="494"/>
      <c r="F211" s="89"/>
      <c r="G211" s="89"/>
      <c r="H211" s="89"/>
      <c r="I211" s="89"/>
      <c r="J211" s="89"/>
      <c r="K211" s="89"/>
      <c r="L211" s="89"/>
      <c r="M211" s="89"/>
      <c r="N211" s="89"/>
      <c r="O211" s="89"/>
      <c r="P211" s="89"/>
      <c r="Q211" s="89"/>
      <c r="R211" s="89"/>
      <c r="S211" s="89"/>
      <c r="T211" s="89"/>
      <c r="U211" s="89"/>
      <c r="V211" s="89"/>
      <c r="W211" s="89"/>
      <c r="X211" s="494"/>
      <c r="Y211" s="494"/>
      <c r="Z211" s="89"/>
      <c r="AA211" s="89"/>
      <c r="AB211" s="89"/>
      <c r="AC211" s="89"/>
      <c r="AD211" s="89"/>
      <c r="AE211" s="89"/>
      <c r="AF211" s="89"/>
      <c r="AG211" s="89"/>
      <c r="AH211" s="89"/>
      <c r="AI211" s="89"/>
      <c r="AJ211" s="89"/>
      <c r="AK211" s="89"/>
      <c r="AL211" s="89"/>
      <c r="AM211" s="89"/>
      <c r="AN211" s="89"/>
      <c r="AO211" s="89"/>
      <c r="AP211" s="89"/>
      <c r="AQ211" s="89"/>
    </row>
    <row r="212" spans="2:43" ht="14.65" hidden="1" customHeight="1" outlineLevel="1">
      <c r="B212" s="437">
        <f t="shared" si="4"/>
        <v>25</v>
      </c>
      <c r="C212" s="255" t="s">
        <v>461</v>
      </c>
      <c r="D212" s="494"/>
      <c r="E212" s="494"/>
      <c r="F212" s="89"/>
      <c r="G212" s="89"/>
      <c r="H212" s="89"/>
      <c r="I212" s="89"/>
      <c r="J212" s="89"/>
      <c r="K212" s="89"/>
      <c r="L212" s="89"/>
      <c r="M212" s="89"/>
      <c r="N212" s="89"/>
      <c r="O212" s="89"/>
      <c r="P212" s="89"/>
      <c r="Q212" s="89"/>
      <c r="R212" s="89"/>
      <c r="S212" s="89"/>
      <c r="T212" s="89"/>
      <c r="U212" s="89"/>
      <c r="V212" s="89"/>
      <c r="W212" s="89"/>
      <c r="X212" s="494"/>
      <c r="Y212" s="494"/>
      <c r="Z212" s="89"/>
      <c r="AA212" s="89"/>
      <c r="AB212" s="89"/>
      <c r="AC212" s="89"/>
      <c r="AD212" s="89"/>
      <c r="AE212" s="89"/>
      <c r="AF212" s="89"/>
      <c r="AG212" s="89"/>
      <c r="AH212" s="89"/>
      <c r="AI212" s="89"/>
      <c r="AJ212" s="89"/>
      <c r="AK212" s="89"/>
      <c r="AL212" s="89"/>
      <c r="AM212" s="89"/>
      <c r="AN212" s="89"/>
      <c r="AO212" s="89"/>
      <c r="AP212" s="89"/>
      <c r="AQ212" s="89"/>
    </row>
    <row r="213" spans="2:43" ht="14.65" hidden="1" customHeight="1" outlineLevel="1">
      <c r="B213" s="437">
        <f t="shared" si="4"/>
        <v>26</v>
      </c>
      <c r="C213" s="255" t="s">
        <v>461</v>
      </c>
      <c r="D213" s="494"/>
      <c r="E213" s="494"/>
      <c r="F213" s="89"/>
      <c r="G213" s="89"/>
      <c r="H213" s="89"/>
      <c r="I213" s="89"/>
      <c r="J213" s="89"/>
      <c r="K213" s="89"/>
      <c r="L213" s="89"/>
      <c r="M213" s="89"/>
      <c r="N213" s="89"/>
      <c r="O213" s="89"/>
      <c r="P213" s="89"/>
      <c r="Q213" s="89"/>
      <c r="R213" s="89"/>
      <c r="S213" s="89"/>
      <c r="T213" s="89"/>
      <c r="U213" s="89"/>
      <c r="V213" s="89"/>
      <c r="W213" s="89"/>
      <c r="X213" s="494"/>
      <c r="Y213" s="494"/>
      <c r="Z213" s="89"/>
      <c r="AA213" s="89"/>
      <c r="AB213" s="89"/>
      <c r="AC213" s="89"/>
      <c r="AD213" s="89"/>
      <c r="AE213" s="89"/>
      <c r="AF213" s="89"/>
      <c r="AG213" s="89"/>
      <c r="AH213" s="89"/>
      <c r="AI213" s="89"/>
      <c r="AJ213" s="89"/>
      <c r="AK213" s="89"/>
      <c r="AL213" s="89"/>
      <c r="AM213" s="89"/>
      <c r="AN213" s="89"/>
      <c r="AO213" s="89"/>
      <c r="AP213" s="89"/>
      <c r="AQ213" s="89"/>
    </row>
    <row r="214" spans="2:43" ht="14.65" hidden="1" customHeight="1" outlineLevel="1">
      <c r="B214" s="437">
        <f t="shared" si="4"/>
        <v>27</v>
      </c>
      <c r="C214" s="255" t="s">
        <v>461</v>
      </c>
      <c r="D214" s="494"/>
      <c r="E214" s="494"/>
      <c r="F214" s="89"/>
      <c r="G214" s="89"/>
      <c r="H214" s="89"/>
      <c r="I214" s="89"/>
      <c r="J214" s="89"/>
      <c r="K214" s="89"/>
      <c r="L214" s="89"/>
      <c r="M214" s="89"/>
      <c r="N214" s="89"/>
      <c r="O214" s="89"/>
      <c r="P214" s="89"/>
      <c r="Q214" s="89"/>
      <c r="R214" s="89"/>
      <c r="S214" s="89"/>
      <c r="T214" s="89"/>
      <c r="U214" s="89"/>
      <c r="V214" s="89"/>
      <c r="W214" s="89"/>
      <c r="X214" s="494"/>
      <c r="Y214" s="494"/>
      <c r="Z214" s="89"/>
      <c r="AA214" s="89"/>
      <c r="AB214" s="89"/>
      <c r="AC214" s="89"/>
      <c r="AD214" s="89"/>
      <c r="AE214" s="89"/>
      <c r="AF214" s="89"/>
      <c r="AG214" s="89"/>
      <c r="AH214" s="89"/>
      <c r="AI214" s="89"/>
      <c r="AJ214" s="89"/>
      <c r="AK214" s="89"/>
      <c r="AL214" s="89"/>
      <c r="AM214" s="89"/>
      <c r="AN214" s="89"/>
      <c r="AO214" s="89"/>
      <c r="AP214" s="89"/>
      <c r="AQ214" s="89"/>
    </row>
    <row r="215" spans="2:43" ht="14.65" hidden="1" customHeight="1" outlineLevel="1">
      <c r="B215" s="437">
        <f t="shared" si="4"/>
        <v>28</v>
      </c>
      <c r="C215" s="255" t="s">
        <v>461</v>
      </c>
      <c r="D215" s="494"/>
      <c r="E215" s="494"/>
      <c r="F215" s="89"/>
      <c r="G215" s="89"/>
      <c r="H215" s="89"/>
      <c r="I215" s="89"/>
      <c r="J215" s="89"/>
      <c r="K215" s="89"/>
      <c r="L215" s="89"/>
      <c r="M215" s="89"/>
      <c r="N215" s="89"/>
      <c r="O215" s="89"/>
      <c r="P215" s="89"/>
      <c r="Q215" s="89"/>
      <c r="R215" s="89"/>
      <c r="S215" s="89"/>
      <c r="T215" s="89"/>
      <c r="U215" s="89"/>
      <c r="V215" s="89"/>
      <c r="W215" s="89"/>
      <c r="X215" s="494"/>
      <c r="Y215" s="494"/>
      <c r="Z215" s="89"/>
      <c r="AA215" s="89"/>
      <c r="AB215" s="89"/>
      <c r="AC215" s="89"/>
      <c r="AD215" s="89"/>
      <c r="AE215" s="89"/>
      <c r="AF215" s="89"/>
      <c r="AG215" s="89"/>
      <c r="AH215" s="89"/>
      <c r="AI215" s="89"/>
      <c r="AJ215" s="89"/>
      <c r="AK215" s="89"/>
      <c r="AL215" s="89"/>
      <c r="AM215" s="89"/>
      <c r="AN215" s="89"/>
      <c r="AO215" s="89"/>
      <c r="AP215" s="89"/>
      <c r="AQ215" s="89"/>
    </row>
    <row r="216" spans="2:43" ht="14.65" hidden="1" customHeight="1" outlineLevel="1">
      <c r="B216" s="437">
        <f t="shared" si="4"/>
        <v>29</v>
      </c>
      <c r="C216" s="255" t="s">
        <v>461</v>
      </c>
      <c r="D216" s="494"/>
      <c r="E216" s="494"/>
      <c r="F216" s="89"/>
      <c r="G216" s="89"/>
      <c r="H216" s="89"/>
      <c r="I216" s="89"/>
      <c r="J216" s="89"/>
      <c r="K216" s="89"/>
      <c r="L216" s="89"/>
      <c r="M216" s="89"/>
      <c r="N216" s="89"/>
      <c r="O216" s="89"/>
      <c r="P216" s="89"/>
      <c r="Q216" s="89"/>
      <c r="R216" s="89"/>
      <c r="S216" s="89"/>
      <c r="T216" s="89"/>
      <c r="U216" s="89"/>
      <c r="V216" s="89"/>
      <c r="W216" s="89"/>
      <c r="X216" s="494"/>
      <c r="Y216" s="494"/>
      <c r="Z216" s="89"/>
      <c r="AA216" s="89"/>
      <c r="AB216" s="89"/>
      <c r="AC216" s="89"/>
      <c r="AD216" s="89"/>
      <c r="AE216" s="89"/>
      <c r="AF216" s="89"/>
      <c r="AG216" s="89"/>
      <c r="AH216" s="89"/>
      <c r="AI216" s="89"/>
      <c r="AJ216" s="89"/>
      <c r="AK216" s="89"/>
      <c r="AL216" s="89"/>
      <c r="AM216" s="89"/>
      <c r="AN216" s="89"/>
      <c r="AO216" s="89"/>
      <c r="AP216" s="89"/>
      <c r="AQ216" s="89"/>
    </row>
    <row r="217" spans="2:43" ht="14.65" hidden="1" customHeight="1" outlineLevel="1">
      <c r="B217" s="437">
        <f t="shared" si="4"/>
        <v>30</v>
      </c>
      <c r="C217" s="255" t="s">
        <v>461</v>
      </c>
      <c r="D217" s="494"/>
      <c r="E217" s="494"/>
      <c r="F217" s="89"/>
      <c r="G217" s="89"/>
      <c r="H217" s="89"/>
      <c r="I217" s="89"/>
      <c r="J217" s="89"/>
      <c r="K217" s="89"/>
      <c r="L217" s="89"/>
      <c r="M217" s="89"/>
      <c r="N217" s="89"/>
      <c r="O217" s="89"/>
      <c r="P217" s="89"/>
      <c r="Q217" s="89"/>
      <c r="R217" s="89"/>
      <c r="S217" s="89"/>
      <c r="T217" s="89"/>
      <c r="U217" s="89"/>
      <c r="V217" s="89"/>
      <c r="W217" s="89"/>
      <c r="X217" s="494"/>
      <c r="Y217" s="494"/>
      <c r="Z217" s="89"/>
      <c r="AA217" s="89"/>
      <c r="AB217" s="89"/>
      <c r="AC217" s="89"/>
      <c r="AD217" s="89"/>
      <c r="AE217" s="89"/>
      <c r="AF217" s="89"/>
      <c r="AG217" s="89"/>
      <c r="AH217" s="89"/>
      <c r="AI217" s="89"/>
      <c r="AJ217" s="89"/>
      <c r="AK217" s="89"/>
      <c r="AL217" s="89"/>
      <c r="AM217" s="89"/>
      <c r="AN217" s="89"/>
      <c r="AO217" s="89"/>
      <c r="AP217" s="89"/>
      <c r="AQ217" s="89"/>
    </row>
    <row r="218" spans="2:43" ht="14.65" hidden="1" customHeight="1" outlineLevel="1">
      <c r="B218" s="437">
        <f t="shared" si="4"/>
        <v>31</v>
      </c>
      <c r="C218" s="255" t="s">
        <v>461</v>
      </c>
      <c r="D218" s="494"/>
      <c r="E218" s="494"/>
      <c r="F218" s="89"/>
      <c r="G218" s="89"/>
      <c r="H218" s="89"/>
      <c r="I218" s="89"/>
      <c r="J218" s="89"/>
      <c r="K218" s="89"/>
      <c r="L218" s="89"/>
      <c r="M218" s="89"/>
      <c r="N218" s="89"/>
      <c r="O218" s="89"/>
      <c r="P218" s="89"/>
      <c r="Q218" s="89"/>
      <c r="R218" s="89"/>
      <c r="S218" s="89"/>
      <c r="T218" s="89"/>
      <c r="U218" s="89"/>
      <c r="V218" s="89"/>
      <c r="W218" s="89"/>
      <c r="X218" s="494"/>
      <c r="Y218" s="494"/>
      <c r="Z218" s="89"/>
      <c r="AA218" s="89"/>
      <c r="AB218" s="89"/>
      <c r="AC218" s="89"/>
      <c r="AD218" s="89"/>
      <c r="AE218" s="89"/>
      <c r="AF218" s="89"/>
      <c r="AG218" s="89"/>
      <c r="AH218" s="89"/>
      <c r="AI218" s="89"/>
      <c r="AJ218" s="89"/>
      <c r="AK218" s="89"/>
      <c r="AL218" s="89"/>
      <c r="AM218" s="89"/>
      <c r="AN218" s="89"/>
      <c r="AO218" s="89"/>
      <c r="AP218" s="89"/>
      <c r="AQ218" s="89"/>
    </row>
    <row r="219" spans="2:43" ht="14.65" hidden="1" customHeight="1" outlineLevel="1">
      <c r="B219" s="437">
        <f t="shared" si="4"/>
        <v>32</v>
      </c>
      <c r="C219" s="255" t="s">
        <v>461</v>
      </c>
      <c r="D219" s="494"/>
      <c r="E219" s="494"/>
      <c r="F219" s="89"/>
      <c r="G219" s="89"/>
      <c r="H219" s="89"/>
      <c r="I219" s="89"/>
      <c r="J219" s="89"/>
      <c r="K219" s="89"/>
      <c r="L219" s="89"/>
      <c r="M219" s="89"/>
      <c r="N219" s="89"/>
      <c r="O219" s="89"/>
      <c r="P219" s="89"/>
      <c r="Q219" s="89"/>
      <c r="R219" s="89"/>
      <c r="S219" s="89"/>
      <c r="T219" s="89"/>
      <c r="U219" s="89"/>
      <c r="V219" s="89"/>
      <c r="W219" s="89"/>
      <c r="X219" s="494"/>
      <c r="Y219" s="494"/>
      <c r="Z219" s="89"/>
      <c r="AA219" s="89"/>
      <c r="AB219" s="89"/>
      <c r="AC219" s="89"/>
      <c r="AD219" s="89"/>
      <c r="AE219" s="89"/>
      <c r="AF219" s="89"/>
      <c r="AG219" s="89"/>
      <c r="AH219" s="89"/>
      <c r="AI219" s="89"/>
      <c r="AJ219" s="89"/>
      <c r="AK219" s="89"/>
      <c r="AL219" s="89"/>
      <c r="AM219" s="89"/>
      <c r="AN219" s="89"/>
      <c r="AO219" s="89"/>
      <c r="AP219" s="89"/>
      <c r="AQ219" s="89"/>
    </row>
    <row r="220" spans="2:43" ht="14.65" hidden="1" customHeight="1" outlineLevel="1">
      <c r="B220" s="437">
        <f t="shared" si="4"/>
        <v>33</v>
      </c>
      <c r="C220" s="255" t="s">
        <v>461</v>
      </c>
      <c r="D220" s="494"/>
      <c r="E220" s="494"/>
      <c r="F220" s="89"/>
      <c r="G220" s="89"/>
      <c r="H220" s="89"/>
      <c r="I220" s="89"/>
      <c r="J220" s="89"/>
      <c r="K220" s="89"/>
      <c r="L220" s="89"/>
      <c r="M220" s="89"/>
      <c r="N220" s="89"/>
      <c r="O220" s="89"/>
      <c r="P220" s="89"/>
      <c r="Q220" s="89"/>
      <c r="R220" s="89"/>
      <c r="S220" s="89"/>
      <c r="T220" s="89"/>
      <c r="U220" s="89"/>
      <c r="V220" s="89"/>
      <c r="W220" s="89"/>
      <c r="X220" s="494"/>
      <c r="Y220" s="494"/>
      <c r="Z220" s="89"/>
      <c r="AA220" s="89"/>
      <c r="AB220" s="89"/>
      <c r="AC220" s="89"/>
      <c r="AD220" s="89"/>
      <c r="AE220" s="89"/>
      <c r="AF220" s="89"/>
      <c r="AG220" s="89"/>
      <c r="AH220" s="89"/>
      <c r="AI220" s="89"/>
      <c r="AJ220" s="89"/>
      <c r="AK220" s="89"/>
      <c r="AL220" s="89"/>
      <c r="AM220" s="89"/>
      <c r="AN220" s="89"/>
      <c r="AO220" s="89"/>
      <c r="AP220" s="89"/>
      <c r="AQ220" s="89"/>
    </row>
    <row r="221" spans="2:43" ht="14.65" hidden="1" customHeight="1" outlineLevel="1">
      <c r="B221" s="437">
        <f t="shared" si="4"/>
        <v>34</v>
      </c>
      <c r="C221" s="255" t="s">
        <v>461</v>
      </c>
      <c r="D221" s="494"/>
      <c r="E221" s="494"/>
      <c r="F221" s="89"/>
      <c r="G221" s="89"/>
      <c r="H221" s="89"/>
      <c r="I221" s="89"/>
      <c r="J221" s="89"/>
      <c r="K221" s="89"/>
      <c r="L221" s="89"/>
      <c r="M221" s="89"/>
      <c r="N221" s="89"/>
      <c r="O221" s="89"/>
      <c r="P221" s="89"/>
      <c r="Q221" s="89"/>
      <c r="R221" s="89"/>
      <c r="S221" s="89"/>
      <c r="T221" s="89"/>
      <c r="U221" s="89"/>
      <c r="V221" s="89"/>
      <c r="W221" s="89"/>
      <c r="X221" s="494"/>
      <c r="Y221" s="494"/>
      <c r="Z221" s="89"/>
      <c r="AA221" s="89"/>
      <c r="AB221" s="89"/>
      <c r="AC221" s="89"/>
      <c r="AD221" s="89"/>
      <c r="AE221" s="89"/>
      <c r="AF221" s="89"/>
      <c r="AG221" s="89"/>
      <c r="AH221" s="89"/>
      <c r="AI221" s="89"/>
      <c r="AJ221" s="89"/>
      <c r="AK221" s="89"/>
      <c r="AL221" s="89"/>
      <c r="AM221" s="89"/>
      <c r="AN221" s="89"/>
      <c r="AO221" s="89"/>
      <c r="AP221" s="89"/>
      <c r="AQ221" s="89"/>
    </row>
    <row r="222" spans="2:43" ht="14.65" hidden="1" customHeight="1" outlineLevel="1">
      <c r="B222" s="437">
        <f t="shared" si="4"/>
        <v>35</v>
      </c>
      <c r="C222" s="255" t="s">
        <v>461</v>
      </c>
      <c r="D222" s="494"/>
      <c r="E222" s="494"/>
      <c r="F222" s="89"/>
      <c r="G222" s="89"/>
      <c r="H222" s="89"/>
      <c r="I222" s="89"/>
      <c r="J222" s="89"/>
      <c r="K222" s="89"/>
      <c r="L222" s="89"/>
      <c r="M222" s="89"/>
      <c r="N222" s="89"/>
      <c r="O222" s="89"/>
      <c r="P222" s="89"/>
      <c r="Q222" s="89"/>
      <c r="R222" s="89"/>
      <c r="S222" s="89"/>
      <c r="T222" s="89"/>
      <c r="U222" s="89"/>
      <c r="V222" s="89"/>
      <c r="W222" s="89"/>
      <c r="X222" s="494"/>
      <c r="Y222" s="494"/>
      <c r="Z222" s="89"/>
      <c r="AA222" s="89"/>
      <c r="AB222" s="89"/>
      <c r="AC222" s="89"/>
      <c r="AD222" s="89"/>
      <c r="AE222" s="89"/>
      <c r="AF222" s="89"/>
      <c r="AG222" s="89"/>
      <c r="AH222" s="89"/>
      <c r="AI222" s="89"/>
      <c r="AJ222" s="89"/>
      <c r="AK222" s="89"/>
      <c r="AL222" s="89"/>
      <c r="AM222" s="89"/>
      <c r="AN222" s="89"/>
      <c r="AO222" s="89"/>
      <c r="AP222" s="89"/>
      <c r="AQ222" s="89"/>
    </row>
    <row r="223" spans="2:43" ht="14.65" hidden="1" customHeight="1" outlineLevel="1">
      <c r="B223" s="437">
        <f t="shared" si="4"/>
        <v>36</v>
      </c>
      <c r="C223" s="255" t="s">
        <v>461</v>
      </c>
      <c r="D223" s="494"/>
      <c r="E223" s="494"/>
      <c r="F223" s="89"/>
      <c r="G223" s="89"/>
      <c r="H223" s="89"/>
      <c r="I223" s="89"/>
      <c r="J223" s="89"/>
      <c r="K223" s="89"/>
      <c r="L223" s="89"/>
      <c r="M223" s="89"/>
      <c r="N223" s="89"/>
      <c r="O223" s="89"/>
      <c r="P223" s="89"/>
      <c r="Q223" s="89"/>
      <c r="R223" s="89"/>
      <c r="S223" s="89"/>
      <c r="T223" s="89"/>
      <c r="U223" s="89"/>
      <c r="V223" s="89"/>
      <c r="W223" s="89"/>
      <c r="X223" s="494"/>
      <c r="Y223" s="494"/>
      <c r="Z223" s="89"/>
      <c r="AA223" s="89"/>
      <c r="AB223" s="89"/>
      <c r="AC223" s="89"/>
      <c r="AD223" s="89"/>
      <c r="AE223" s="89"/>
      <c r="AF223" s="89"/>
      <c r="AG223" s="89"/>
      <c r="AH223" s="89"/>
      <c r="AI223" s="89"/>
      <c r="AJ223" s="89"/>
      <c r="AK223" s="89"/>
      <c r="AL223" s="89"/>
      <c r="AM223" s="89"/>
      <c r="AN223" s="89"/>
      <c r="AO223" s="89"/>
      <c r="AP223" s="89"/>
      <c r="AQ223" s="89"/>
    </row>
    <row r="224" spans="2:43" ht="14.65" hidden="1" customHeight="1" outlineLevel="1">
      <c r="B224" s="437">
        <f t="shared" si="4"/>
        <v>37</v>
      </c>
      <c r="C224" s="255" t="s">
        <v>461</v>
      </c>
      <c r="D224" s="494"/>
      <c r="E224" s="494"/>
      <c r="F224" s="89"/>
      <c r="G224" s="89"/>
      <c r="H224" s="89"/>
      <c r="I224" s="89"/>
      <c r="J224" s="89"/>
      <c r="K224" s="89"/>
      <c r="L224" s="89"/>
      <c r="M224" s="89"/>
      <c r="N224" s="89"/>
      <c r="O224" s="89"/>
      <c r="P224" s="89"/>
      <c r="Q224" s="89"/>
      <c r="R224" s="89"/>
      <c r="S224" s="89"/>
      <c r="T224" s="89"/>
      <c r="U224" s="89"/>
      <c r="V224" s="89"/>
      <c r="W224" s="89"/>
      <c r="X224" s="494"/>
      <c r="Y224" s="494"/>
      <c r="Z224" s="89"/>
      <c r="AA224" s="89"/>
      <c r="AB224" s="89"/>
      <c r="AC224" s="89"/>
      <c r="AD224" s="89"/>
      <c r="AE224" s="89"/>
      <c r="AF224" s="89"/>
      <c r="AG224" s="89"/>
      <c r="AH224" s="89"/>
      <c r="AI224" s="89"/>
      <c r="AJ224" s="89"/>
      <c r="AK224" s="89"/>
      <c r="AL224" s="89"/>
      <c r="AM224" s="89"/>
      <c r="AN224" s="89"/>
      <c r="AO224" s="89"/>
      <c r="AP224" s="89"/>
      <c r="AQ224" s="89"/>
    </row>
    <row r="225" spans="2:43" ht="14.65" hidden="1" customHeight="1" outlineLevel="1">
      <c r="B225" s="437">
        <f t="shared" si="4"/>
        <v>38</v>
      </c>
      <c r="C225" s="255" t="s">
        <v>461</v>
      </c>
      <c r="D225" s="494"/>
      <c r="E225" s="494"/>
      <c r="F225" s="89"/>
      <c r="G225" s="89"/>
      <c r="H225" s="89"/>
      <c r="I225" s="89"/>
      <c r="J225" s="89"/>
      <c r="K225" s="89"/>
      <c r="L225" s="89"/>
      <c r="M225" s="89"/>
      <c r="N225" s="89"/>
      <c r="O225" s="89"/>
      <c r="P225" s="89"/>
      <c r="Q225" s="89"/>
      <c r="R225" s="89"/>
      <c r="S225" s="89"/>
      <c r="T225" s="89"/>
      <c r="U225" s="89"/>
      <c r="V225" s="89"/>
      <c r="W225" s="89"/>
      <c r="X225" s="494"/>
      <c r="Y225" s="494"/>
      <c r="Z225" s="89"/>
      <c r="AA225" s="89"/>
      <c r="AB225" s="89"/>
      <c r="AC225" s="89"/>
      <c r="AD225" s="89"/>
      <c r="AE225" s="89"/>
      <c r="AF225" s="89"/>
      <c r="AG225" s="89"/>
      <c r="AH225" s="89"/>
      <c r="AI225" s="89"/>
      <c r="AJ225" s="89"/>
      <c r="AK225" s="89"/>
      <c r="AL225" s="89"/>
      <c r="AM225" s="89"/>
      <c r="AN225" s="89"/>
      <c r="AO225" s="89"/>
      <c r="AP225" s="89"/>
      <c r="AQ225" s="89"/>
    </row>
    <row r="226" spans="2:43" ht="14.65" hidden="1" customHeight="1" outlineLevel="1">
      <c r="B226" s="437">
        <f t="shared" si="4"/>
        <v>39</v>
      </c>
      <c r="C226" s="255" t="s">
        <v>461</v>
      </c>
      <c r="D226" s="494"/>
      <c r="E226" s="494"/>
      <c r="F226" s="89"/>
      <c r="G226" s="89"/>
      <c r="H226" s="89"/>
      <c r="I226" s="89"/>
      <c r="J226" s="89"/>
      <c r="K226" s="89"/>
      <c r="L226" s="89"/>
      <c r="M226" s="89"/>
      <c r="N226" s="89"/>
      <c r="O226" s="89"/>
      <c r="P226" s="89"/>
      <c r="Q226" s="89"/>
      <c r="R226" s="89"/>
      <c r="S226" s="89"/>
      <c r="T226" s="89"/>
      <c r="U226" s="89"/>
      <c r="V226" s="89"/>
      <c r="W226" s="89"/>
      <c r="X226" s="494"/>
      <c r="Y226" s="494"/>
      <c r="Z226" s="89"/>
      <c r="AA226" s="89"/>
      <c r="AB226" s="89"/>
      <c r="AC226" s="89"/>
      <c r="AD226" s="89"/>
      <c r="AE226" s="89"/>
      <c r="AF226" s="89"/>
      <c r="AG226" s="89"/>
      <c r="AH226" s="89"/>
      <c r="AI226" s="89"/>
      <c r="AJ226" s="89"/>
      <c r="AK226" s="89"/>
      <c r="AL226" s="89"/>
      <c r="AM226" s="89"/>
      <c r="AN226" s="89"/>
      <c r="AO226" s="89"/>
      <c r="AP226" s="89"/>
      <c r="AQ226" s="89"/>
    </row>
    <row r="227" spans="2:43" ht="14.65" hidden="1" customHeight="1" outlineLevel="1">
      <c r="B227" s="437">
        <f t="shared" si="4"/>
        <v>40</v>
      </c>
      <c r="C227" s="255" t="s">
        <v>461</v>
      </c>
      <c r="D227" s="494"/>
      <c r="E227" s="494"/>
      <c r="F227" s="89"/>
      <c r="G227" s="89"/>
      <c r="H227" s="89"/>
      <c r="I227" s="89"/>
      <c r="J227" s="89"/>
      <c r="K227" s="89"/>
      <c r="L227" s="89"/>
      <c r="M227" s="89"/>
      <c r="N227" s="89"/>
      <c r="O227" s="89"/>
      <c r="P227" s="89"/>
      <c r="Q227" s="89"/>
      <c r="R227" s="89"/>
      <c r="S227" s="89"/>
      <c r="T227" s="89"/>
      <c r="U227" s="89"/>
      <c r="V227" s="89"/>
      <c r="W227" s="89"/>
      <c r="X227" s="494"/>
      <c r="Y227" s="494"/>
      <c r="Z227" s="89"/>
      <c r="AA227" s="89"/>
      <c r="AB227" s="89"/>
      <c r="AC227" s="89"/>
      <c r="AD227" s="89"/>
      <c r="AE227" s="89"/>
      <c r="AF227" s="89"/>
      <c r="AG227" s="89"/>
      <c r="AH227" s="89"/>
      <c r="AI227" s="89"/>
      <c r="AJ227" s="89"/>
      <c r="AK227" s="89"/>
      <c r="AL227" s="89"/>
      <c r="AM227" s="89"/>
      <c r="AN227" s="89"/>
      <c r="AO227" s="89"/>
      <c r="AP227" s="89"/>
      <c r="AQ227" s="89"/>
    </row>
    <row r="228" spans="2:43" ht="14.65" hidden="1" customHeight="1" outlineLevel="1">
      <c r="B228" s="437">
        <f t="shared" si="4"/>
        <v>41</v>
      </c>
      <c r="C228" s="255" t="s">
        <v>461</v>
      </c>
      <c r="D228" s="494"/>
      <c r="E228" s="494"/>
      <c r="F228" s="89"/>
      <c r="G228" s="89"/>
      <c r="H228" s="89"/>
      <c r="I228" s="89"/>
      <c r="J228" s="89"/>
      <c r="K228" s="89"/>
      <c r="L228" s="89"/>
      <c r="M228" s="89"/>
      <c r="N228" s="89"/>
      <c r="O228" s="89"/>
      <c r="P228" s="89"/>
      <c r="Q228" s="89"/>
      <c r="R228" s="89"/>
      <c r="S228" s="89"/>
      <c r="T228" s="89"/>
      <c r="U228" s="89"/>
      <c r="V228" s="89"/>
      <c r="W228" s="89"/>
      <c r="X228" s="494"/>
      <c r="Y228" s="494"/>
      <c r="Z228" s="89"/>
      <c r="AA228" s="89"/>
      <c r="AB228" s="89"/>
      <c r="AC228" s="89"/>
      <c r="AD228" s="89"/>
      <c r="AE228" s="89"/>
      <c r="AF228" s="89"/>
      <c r="AG228" s="89"/>
      <c r="AH228" s="89"/>
      <c r="AI228" s="89"/>
      <c r="AJ228" s="89"/>
      <c r="AK228" s="89"/>
      <c r="AL228" s="89"/>
      <c r="AM228" s="89"/>
      <c r="AN228" s="89"/>
      <c r="AO228" s="89"/>
      <c r="AP228" s="89"/>
      <c r="AQ228" s="89"/>
    </row>
    <row r="229" spans="2:43" ht="14.65" hidden="1" customHeight="1" outlineLevel="1">
      <c r="B229" s="437">
        <f t="shared" si="4"/>
        <v>42</v>
      </c>
      <c r="C229" s="255" t="s">
        <v>461</v>
      </c>
      <c r="D229" s="494"/>
      <c r="E229" s="494"/>
      <c r="F229" s="89"/>
      <c r="G229" s="89"/>
      <c r="H229" s="89"/>
      <c r="I229" s="89"/>
      <c r="J229" s="89"/>
      <c r="K229" s="89"/>
      <c r="L229" s="89"/>
      <c r="M229" s="89"/>
      <c r="N229" s="89"/>
      <c r="O229" s="89"/>
      <c r="P229" s="89"/>
      <c r="Q229" s="89"/>
      <c r="R229" s="89"/>
      <c r="S229" s="89"/>
      <c r="T229" s="89"/>
      <c r="U229" s="89"/>
      <c r="V229" s="89"/>
      <c r="W229" s="89"/>
      <c r="X229" s="494"/>
      <c r="Y229" s="494"/>
      <c r="Z229" s="89"/>
      <c r="AA229" s="89"/>
      <c r="AB229" s="89"/>
      <c r="AC229" s="89"/>
      <c r="AD229" s="89"/>
      <c r="AE229" s="89"/>
      <c r="AF229" s="89"/>
      <c r="AG229" s="89"/>
      <c r="AH229" s="89"/>
      <c r="AI229" s="89"/>
      <c r="AJ229" s="89"/>
      <c r="AK229" s="89"/>
      <c r="AL229" s="89"/>
      <c r="AM229" s="89"/>
      <c r="AN229" s="89"/>
      <c r="AO229" s="89"/>
      <c r="AP229" s="89"/>
      <c r="AQ229" s="89"/>
    </row>
    <row r="230" spans="2:43" ht="14.65" hidden="1" customHeight="1" outlineLevel="1">
      <c r="B230" s="437">
        <f t="shared" si="4"/>
        <v>43</v>
      </c>
      <c r="C230" s="255" t="s">
        <v>461</v>
      </c>
      <c r="D230" s="494"/>
      <c r="E230" s="494"/>
      <c r="F230" s="89"/>
      <c r="G230" s="89"/>
      <c r="H230" s="89"/>
      <c r="I230" s="89"/>
      <c r="J230" s="89"/>
      <c r="K230" s="89"/>
      <c r="L230" s="89"/>
      <c r="M230" s="89"/>
      <c r="N230" s="89"/>
      <c r="O230" s="89"/>
      <c r="P230" s="89"/>
      <c r="Q230" s="89"/>
      <c r="R230" s="89"/>
      <c r="S230" s="89"/>
      <c r="T230" s="89"/>
      <c r="U230" s="89"/>
      <c r="V230" s="89"/>
      <c r="W230" s="89"/>
      <c r="X230" s="494"/>
      <c r="Y230" s="494"/>
      <c r="Z230" s="89"/>
      <c r="AA230" s="89"/>
      <c r="AB230" s="89"/>
      <c r="AC230" s="89"/>
      <c r="AD230" s="89"/>
      <c r="AE230" s="89"/>
      <c r="AF230" s="89"/>
      <c r="AG230" s="89"/>
      <c r="AH230" s="89"/>
      <c r="AI230" s="89"/>
      <c r="AJ230" s="89"/>
      <c r="AK230" s="89"/>
      <c r="AL230" s="89"/>
      <c r="AM230" s="89"/>
      <c r="AN230" s="89"/>
      <c r="AO230" s="89"/>
      <c r="AP230" s="89"/>
      <c r="AQ230" s="89"/>
    </row>
    <row r="231" spans="2:43" ht="14.65" hidden="1" customHeight="1" outlineLevel="1">
      <c r="B231" s="437">
        <f t="shared" si="4"/>
        <v>44</v>
      </c>
      <c r="C231" s="255" t="s">
        <v>461</v>
      </c>
      <c r="D231" s="494"/>
      <c r="E231" s="494"/>
      <c r="F231" s="89"/>
      <c r="G231" s="89"/>
      <c r="H231" s="89"/>
      <c r="I231" s="89"/>
      <c r="J231" s="89"/>
      <c r="K231" s="89"/>
      <c r="L231" s="89"/>
      <c r="M231" s="89"/>
      <c r="N231" s="89"/>
      <c r="O231" s="89"/>
      <c r="P231" s="89"/>
      <c r="Q231" s="89"/>
      <c r="R231" s="89"/>
      <c r="S231" s="89"/>
      <c r="T231" s="89"/>
      <c r="U231" s="89"/>
      <c r="V231" s="89"/>
      <c r="W231" s="89"/>
      <c r="X231" s="494"/>
      <c r="Y231" s="494"/>
      <c r="Z231" s="89"/>
      <c r="AA231" s="89"/>
      <c r="AB231" s="89"/>
      <c r="AC231" s="89"/>
      <c r="AD231" s="89"/>
      <c r="AE231" s="89"/>
      <c r="AF231" s="89"/>
      <c r="AG231" s="89"/>
      <c r="AH231" s="89"/>
      <c r="AI231" s="89"/>
      <c r="AJ231" s="89"/>
      <c r="AK231" s="89"/>
      <c r="AL231" s="89"/>
      <c r="AM231" s="89"/>
      <c r="AN231" s="89"/>
      <c r="AO231" s="89"/>
      <c r="AP231" s="89"/>
      <c r="AQ231" s="89"/>
    </row>
    <row r="232" spans="2:43" ht="14.65" hidden="1" customHeight="1" outlineLevel="1">
      <c r="B232" s="437">
        <f t="shared" si="4"/>
        <v>45</v>
      </c>
      <c r="C232" s="255" t="s">
        <v>461</v>
      </c>
      <c r="D232" s="494"/>
      <c r="E232" s="494"/>
      <c r="F232" s="89"/>
      <c r="G232" s="89"/>
      <c r="H232" s="89"/>
      <c r="I232" s="89"/>
      <c r="J232" s="89"/>
      <c r="K232" s="89"/>
      <c r="L232" s="89"/>
      <c r="M232" s="89"/>
      <c r="N232" s="89"/>
      <c r="O232" s="89"/>
      <c r="P232" s="89"/>
      <c r="Q232" s="89"/>
      <c r="R232" s="89"/>
      <c r="S232" s="89"/>
      <c r="T232" s="89"/>
      <c r="U232" s="89"/>
      <c r="V232" s="89"/>
      <c r="W232" s="89"/>
      <c r="X232" s="494"/>
      <c r="Y232" s="494"/>
      <c r="Z232" s="89"/>
      <c r="AA232" s="89"/>
      <c r="AB232" s="89"/>
      <c r="AC232" s="89"/>
      <c r="AD232" s="89"/>
      <c r="AE232" s="89"/>
      <c r="AF232" s="89"/>
      <c r="AG232" s="89"/>
      <c r="AH232" s="89"/>
      <c r="AI232" s="89"/>
      <c r="AJ232" s="89"/>
      <c r="AK232" s="89"/>
      <c r="AL232" s="89"/>
      <c r="AM232" s="89"/>
      <c r="AN232" s="89"/>
      <c r="AO232" s="89"/>
      <c r="AP232" s="89"/>
      <c r="AQ232" s="89"/>
    </row>
    <row r="233" spans="2:43" ht="14.65" hidden="1" customHeight="1" outlineLevel="1">
      <c r="B233" s="437">
        <f t="shared" si="4"/>
        <v>46</v>
      </c>
      <c r="C233" s="255" t="s">
        <v>461</v>
      </c>
      <c r="D233" s="494"/>
      <c r="E233" s="494"/>
      <c r="F233" s="89"/>
      <c r="G233" s="89"/>
      <c r="H233" s="89"/>
      <c r="I233" s="89"/>
      <c r="J233" s="89"/>
      <c r="K233" s="89"/>
      <c r="L233" s="89"/>
      <c r="M233" s="89"/>
      <c r="N233" s="89"/>
      <c r="O233" s="89"/>
      <c r="P233" s="89"/>
      <c r="Q233" s="89"/>
      <c r="R233" s="89"/>
      <c r="S233" s="89"/>
      <c r="T233" s="89"/>
      <c r="U233" s="89"/>
      <c r="V233" s="89"/>
      <c r="W233" s="89"/>
      <c r="X233" s="494"/>
      <c r="Y233" s="494"/>
      <c r="Z233" s="89"/>
      <c r="AA233" s="89"/>
      <c r="AB233" s="89"/>
      <c r="AC233" s="89"/>
      <c r="AD233" s="89"/>
      <c r="AE233" s="89"/>
      <c r="AF233" s="89"/>
      <c r="AG233" s="89"/>
      <c r="AH233" s="89"/>
      <c r="AI233" s="89"/>
      <c r="AJ233" s="89"/>
      <c r="AK233" s="89"/>
      <c r="AL233" s="89"/>
      <c r="AM233" s="89"/>
      <c r="AN233" s="89"/>
      <c r="AO233" s="89"/>
      <c r="AP233" s="89"/>
      <c r="AQ233" s="89"/>
    </row>
    <row r="234" spans="2:43" ht="14.65" hidden="1" customHeight="1" outlineLevel="1">
      <c r="B234" s="437">
        <f t="shared" si="4"/>
        <v>47</v>
      </c>
      <c r="C234" s="255" t="s">
        <v>461</v>
      </c>
      <c r="D234" s="494"/>
      <c r="E234" s="494"/>
      <c r="F234" s="89"/>
      <c r="G234" s="89"/>
      <c r="H234" s="89"/>
      <c r="I234" s="89"/>
      <c r="J234" s="89"/>
      <c r="K234" s="89"/>
      <c r="L234" s="89"/>
      <c r="M234" s="89"/>
      <c r="N234" s="89"/>
      <c r="O234" s="89"/>
      <c r="P234" s="89"/>
      <c r="Q234" s="89"/>
      <c r="R234" s="89"/>
      <c r="S234" s="89"/>
      <c r="T234" s="89"/>
      <c r="U234" s="89"/>
      <c r="V234" s="89"/>
      <c r="W234" s="89"/>
      <c r="X234" s="494"/>
      <c r="Y234" s="494"/>
      <c r="Z234" s="89"/>
      <c r="AA234" s="89"/>
      <c r="AB234" s="89"/>
      <c r="AC234" s="89"/>
      <c r="AD234" s="89"/>
      <c r="AE234" s="89"/>
      <c r="AF234" s="89"/>
      <c r="AG234" s="89"/>
      <c r="AH234" s="89"/>
      <c r="AI234" s="89"/>
      <c r="AJ234" s="89"/>
      <c r="AK234" s="89"/>
      <c r="AL234" s="89"/>
      <c r="AM234" s="89"/>
      <c r="AN234" s="89"/>
      <c r="AO234" s="89"/>
      <c r="AP234" s="89"/>
      <c r="AQ234" s="89"/>
    </row>
    <row r="235" spans="2:43" ht="14.65" hidden="1" customHeight="1" outlineLevel="1">
      <c r="B235" s="437">
        <f t="shared" si="4"/>
        <v>48</v>
      </c>
      <c r="C235" s="255" t="s">
        <v>461</v>
      </c>
      <c r="D235" s="494"/>
      <c r="E235" s="494"/>
      <c r="F235" s="89"/>
      <c r="G235" s="89"/>
      <c r="H235" s="89"/>
      <c r="I235" s="89"/>
      <c r="J235" s="89"/>
      <c r="K235" s="89"/>
      <c r="L235" s="89"/>
      <c r="M235" s="89"/>
      <c r="N235" s="89"/>
      <c r="O235" s="89"/>
      <c r="P235" s="89"/>
      <c r="Q235" s="89"/>
      <c r="R235" s="89"/>
      <c r="S235" s="89"/>
      <c r="T235" s="89"/>
      <c r="U235" s="89"/>
      <c r="V235" s="89"/>
      <c r="W235" s="89"/>
      <c r="X235" s="494"/>
      <c r="Y235" s="494"/>
      <c r="Z235" s="89"/>
      <c r="AA235" s="89"/>
      <c r="AB235" s="89"/>
      <c r="AC235" s="89"/>
      <c r="AD235" s="89"/>
      <c r="AE235" s="89"/>
      <c r="AF235" s="89"/>
      <c r="AG235" s="89"/>
      <c r="AH235" s="89"/>
      <c r="AI235" s="89"/>
      <c r="AJ235" s="89"/>
      <c r="AK235" s="89"/>
      <c r="AL235" s="89"/>
      <c r="AM235" s="89"/>
      <c r="AN235" s="89"/>
      <c r="AO235" s="89"/>
      <c r="AP235" s="89"/>
      <c r="AQ235" s="89"/>
    </row>
    <row r="236" spans="2:43" ht="14.65" hidden="1" customHeight="1" outlineLevel="1">
      <c r="B236" s="437">
        <f t="shared" si="4"/>
        <v>49</v>
      </c>
      <c r="C236" s="255" t="s">
        <v>461</v>
      </c>
      <c r="D236" s="494"/>
      <c r="E236" s="494"/>
      <c r="F236" s="89"/>
      <c r="G236" s="89"/>
      <c r="H236" s="89"/>
      <c r="I236" s="89"/>
      <c r="J236" s="89"/>
      <c r="K236" s="89"/>
      <c r="L236" s="89"/>
      <c r="M236" s="89"/>
      <c r="N236" s="89"/>
      <c r="O236" s="89"/>
      <c r="P236" s="89"/>
      <c r="Q236" s="89"/>
      <c r="R236" s="89"/>
      <c r="S236" s="89"/>
      <c r="T236" s="89"/>
      <c r="U236" s="89"/>
      <c r="V236" s="89"/>
      <c r="W236" s="89"/>
      <c r="X236" s="494"/>
      <c r="Y236" s="494"/>
      <c r="Z236" s="89"/>
      <c r="AA236" s="89"/>
      <c r="AB236" s="89"/>
      <c r="AC236" s="89"/>
      <c r="AD236" s="89"/>
      <c r="AE236" s="89"/>
      <c r="AF236" s="89"/>
      <c r="AG236" s="89"/>
      <c r="AH236" s="89"/>
      <c r="AI236" s="89"/>
      <c r="AJ236" s="89"/>
      <c r="AK236" s="89"/>
      <c r="AL236" s="89"/>
      <c r="AM236" s="89"/>
      <c r="AN236" s="89"/>
      <c r="AO236" s="89"/>
      <c r="AP236" s="89"/>
      <c r="AQ236" s="89"/>
    </row>
    <row r="237" spans="2:43" ht="14.65" hidden="1" customHeight="1" outlineLevel="1">
      <c r="B237" s="437">
        <f t="shared" si="4"/>
        <v>50</v>
      </c>
      <c r="C237" s="255" t="s">
        <v>461</v>
      </c>
      <c r="D237" s="494"/>
      <c r="E237" s="494"/>
      <c r="F237" s="89"/>
      <c r="G237" s="89"/>
      <c r="H237" s="89"/>
      <c r="I237" s="89"/>
      <c r="J237" s="89"/>
      <c r="K237" s="89"/>
      <c r="L237" s="89"/>
      <c r="M237" s="89"/>
      <c r="N237" s="89"/>
      <c r="O237" s="89"/>
      <c r="P237" s="89"/>
      <c r="Q237" s="89"/>
      <c r="R237" s="89"/>
      <c r="S237" s="89"/>
      <c r="T237" s="89"/>
      <c r="U237" s="89"/>
      <c r="V237" s="89"/>
      <c r="W237" s="89"/>
      <c r="X237" s="494"/>
      <c r="Y237" s="494"/>
      <c r="Z237" s="89"/>
      <c r="AA237" s="89"/>
      <c r="AB237" s="89"/>
      <c r="AC237" s="89"/>
      <c r="AD237" s="89"/>
      <c r="AE237" s="89"/>
      <c r="AF237" s="89"/>
      <c r="AG237" s="89"/>
      <c r="AH237" s="89"/>
      <c r="AI237" s="89"/>
      <c r="AJ237" s="89"/>
      <c r="AK237" s="89"/>
      <c r="AL237" s="89"/>
      <c r="AM237" s="89"/>
      <c r="AN237" s="89"/>
      <c r="AO237" s="89"/>
      <c r="AP237" s="89"/>
      <c r="AQ237" s="89"/>
    </row>
    <row r="238" spans="2:43" ht="14.65" hidden="1" customHeight="1" outlineLevel="1">
      <c r="B238" s="437">
        <f t="shared" si="4"/>
        <v>51</v>
      </c>
      <c r="C238" s="255" t="s">
        <v>461</v>
      </c>
      <c r="D238" s="494"/>
      <c r="E238" s="494"/>
      <c r="F238" s="89"/>
      <c r="G238" s="89"/>
      <c r="H238" s="89"/>
      <c r="I238" s="89"/>
      <c r="J238" s="89"/>
      <c r="K238" s="89"/>
      <c r="L238" s="89"/>
      <c r="M238" s="89"/>
      <c r="N238" s="89"/>
      <c r="O238" s="89"/>
      <c r="P238" s="89"/>
      <c r="Q238" s="89"/>
      <c r="R238" s="89"/>
      <c r="S238" s="89"/>
      <c r="T238" s="89"/>
      <c r="U238" s="89"/>
      <c r="V238" s="89"/>
      <c r="W238" s="89"/>
      <c r="X238" s="494"/>
      <c r="Y238" s="494"/>
      <c r="Z238" s="89"/>
      <c r="AA238" s="89"/>
      <c r="AB238" s="89"/>
      <c r="AC238" s="89"/>
      <c r="AD238" s="89"/>
      <c r="AE238" s="89"/>
      <c r="AF238" s="89"/>
      <c r="AG238" s="89"/>
      <c r="AH238" s="89"/>
      <c r="AI238" s="89"/>
      <c r="AJ238" s="89"/>
      <c r="AK238" s="89"/>
      <c r="AL238" s="89"/>
      <c r="AM238" s="89"/>
      <c r="AN238" s="89"/>
      <c r="AO238" s="89"/>
      <c r="AP238" s="89"/>
      <c r="AQ238" s="89"/>
    </row>
    <row r="239" spans="2:43" ht="14.65" hidden="1" customHeight="1" outlineLevel="1">
      <c r="B239" s="437">
        <f t="shared" si="4"/>
        <v>52</v>
      </c>
      <c r="C239" s="255" t="s">
        <v>461</v>
      </c>
      <c r="D239" s="494"/>
      <c r="E239" s="494"/>
      <c r="F239" s="89"/>
      <c r="G239" s="89"/>
      <c r="H239" s="89"/>
      <c r="I239" s="89"/>
      <c r="J239" s="89"/>
      <c r="K239" s="89"/>
      <c r="L239" s="89"/>
      <c r="M239" s="89"/>
      <c r="N239" s="89"/>
      <c r="O239" s="89"/>
      <c r="P239" s="89"/>
      <c r="Q239" s="89"/>
      <c r="R239" s="89"/>
      <c r="S239" s="89"/>
      <c r="T239" s="89"/>
      <c r="U239" s="89"/>
      <c r="V239" s="89"/>
      <c r="W239" s="89"/>
      <c r="X239" s="494"/>
      <c r="Y239" s="494"/>
      <c r="Z239" s="89"/>
      <c r="AA239" s="89"/>
      <c r="AB239" s="89"/>
      <c r="AC239" s="89"/>
      <c r="AD239" s="89"/>
      <c r="AE239" s="89"/>
      <c r="AF239" s="89"/>
      <c r="AG239" s="89"/>
      <c r="AH239" s="89"/>
      <c r="AI239" s="89"/>
      <c r="AJ239" s="89"/>
      <c r="AK239" s="89"/>
      <c r="AL239" s="89"/>
      <c r="AM239" s="89"/>
      <c r="AN239" s="89"/>
      <c r="AO239" s="89"/>
      <c r="AP239" s="89"/>
      <c r="AQ239" s="89"/>
    </row>
    <row r="240" spans="2:43" ht="14.65" hidden="1" customHeight="1" outlineLevel="1">
      <c r="B240" s="437">
        <f t="shared" si="4"/>
        <v>53</v>
      </c>
      <c r="C240" s="255" t="s">
        <v>461</v>
      </c>
      <c r="D240" s="494"/>
      <c r="E240" s="494"/>
      <c r="F240" s="89"/>
      <c r="G240" s="89"/>
      <c r="H240" s="89"/>
      <c r="I240" s="89"/>
      <c r="J240" s="89"/>
      <c r="K240" s="89"/>
      <c r="L240" s="89"/>
      <c r="M240" s="89"/>
      <c r="N240" s="89"/>
      <c r="O240" s="89"/>
      <c r="P240" s="89"/>
      <c r="Q240" s="89"/>
      <c r="R240" s="89"/>
      <c r="S240" s="89"/>
      <c r="T240" s="89"/>
      <c r="U240" s="89"/>
      <c r="V240" s="89"/>
      <c r="W240" s="89"/>
      <c r="X240" s="494"/>
      <c r="Y240" s="494"/>
      <c r="Z240" s="89"/>
      <c r="AA240" s="89"/>
      <c r="AB240" s="89"/>
      <c r="AC240" s="89"/>
      <c r="AD240" s="89"/>
      <c r="AE240" s="89"/>
      <c r="AF240" s="89"/>
      <c r="AG240" s="89"/>
      <c r="AH240" s="89"/>
      <c r="AI240" s="89"/>
      <c r="AJ240" s="89"/>
      <c r="AK240" s="89"/>
      <c r="AL240" s="89"/>
      <c r="AM240" s="89"/>
      <c r="AN240" s="89"/>
      <c r="AO240" s="89"/>
      <c r="AP240" s="89"/>
      <c r="AQ240" s="89"/>
    </row>
    <row r="241" spans="2:43" ht="14.65" hidden="1" customHeight="1" outlineLevel="1">
      <c r="B241" s="437">
        <f t="shared" si="4"/>
        <v>54</v>
      </c>
      <c r="C241" s="255" t="s">
        <v>461</v>
      </c>
      <c r="D241" s="494"/>
      <c r="E241" s="494"/>
      <c r="F241" s="89"/>
      <c r="G241" s="89"/>
      <c r="H241" s="89"/>
      <c r="I241" s="89"/>
      <c r="J241" s="89"/>
      <c r="K241" s="89"/>
      <c r="L241" s="89"/>
      <c r="M241" s="89"/>
      <c r="N241" s="89"/>
      <c r="O241" s="89"/>
      <c r="P241" s="89"/>
      <c r="Q241" s="89"/>
      <c r="R241" s="89"/>
      <c r="S241" s="89"/>
      <c r="T241" s="89"/>
      <c r="U241" s="89"/>
      <c r="V241" s="89"/>
      <c r="W241" s="89"/>
      <c r="X241" s="494"/>
      <c r="Y241" s="494"/>
      <c r="Z241" s="89"/>
      <c r="AA241" s="89"/>
      <c r="AB241" s="89"/>
      <c r="AC241" s="89"/>
      <c r="AD241" s="89"/>
      <c r="AE241" s="89"/>
      <c r="AF241" s="89"/>
      <c r="AG241" s="89"/>
      <c r="AH241" s="89"/>
      <c r="AI241" s="89"/>
      <c r="AJ241" s="89"/>
      <c r="AK241" s="89"/>
      <c r="AL241" s="89"/>
      <c r="AM241" s="89"/>
      <c r="AN241" s="89"/>
      <c r="AO241" s="89"/>
      <c r="AP241" s="89"/>
      <c r="AQ241" s="89"/>
    </row>
    <row r="242" spans="2:43" ht="14.65" hidden="1" customHeight="1" outlineLevel="1">
      <c r="B242" s="437">
        <f t="shared" si="4"/>
        <v>55</v>
      </c>
      <c r="C242" s="255" t="s">
        <v>461</v>
      </c>
      <c r="D242" s="494"/>
      <c r="E242" s="494"/>
      <c r="F242" s="89"/>
      <c r="G242" s="89"/>
      <c r="H242" s="89"/>
      <c r="I242" s="89"/>
      <c r="J242" s="89"/>
      <c r="K242" s="89"/>
      <c r="L242" s="89"/>
      <c r="M242" s="89"/>
      <c r="N242" s="89"/>
      <c r="O242" s="89"/>
      <c r="P242" s="89"/>
      <c r="Q242" s="89"/>
      <c r="R242" s="89"/>
      <c r="S242" s="89"/>
      <c r="T242" s="89"/>
      <c r="U242" s="89"/>
      <c r="V242" s="89"/>
      <c r="W242" s="89"/>
      <c r="X242" s="494"/>
      <c r="Y242" s="494"/>
      <c r="Z242" s="89"/>
      <c r="AA242" s="89"/>
      <c r="AB242" s="89"/>
      <c r="AC242" s="89"/>
      <c r="AD242" s="89"/>
      <c r="AE242" s="89"/>
      <c r="AF242" s="89"/>
      <c r="AG242" s="89"/>
      <c r="AH242" s="89"/>
      <c r="AI242" s="89"/>
      <c r="AJ242" s="89"/>
      <c r="AK242" s="89"/>
      <c r="AL242" s="89"/>
      <c r="AM242" s="89"/>
      <c r="AN242" s="89"/>
      <c r="AO242" s="89"/>
      <c r="AP242" s="89"/>
      <c r="AQ242" s="89"/>
    </row>
    <row r="243" spans="2:43" ht="14.65" hidden="1" customHeight="1" outlineLevel="1">
      <c r="B243" s="437">
        <f t="shared" si="4"/>
        <v>56</v>
      </c>
      <c r="C243" s="255" t="s">
        <v>461</v>
      </c>
      <c r="D243" s="494"/>
      <c r="E243" s="494"/>
      <c r="F243" s="89"/>
      <c r="G243" s="89"/>
      <c r="H243" s="89"/>
      <c r="I243" s="89"/>
      <c r="J243" s="89"/>
      <c r="K243" s="89"/>
      <c r="L243" s="89"/>
      <c r="M243" s="89"/>
      <c r="N243" s="89"/>
      <c r="O243" s="89"/>
      <c r="P243" s="89"/>
      <c r="Q243" s="89"/>
      <c r="R243" s="89"/>
      <c r="S243" s="89"/>
      <c r="T243" s="89"/>
      <c r="U243" s="89"/>
      <c r="V243" s="89"/>
      <c r="W243" s="89"/>
      <c r="X243" s="494"/>
      <c r="Y243" s="494"/>
      <c r="Z243" s="89"/>
      <c r="AA243" s="89"/>
      <c r="AB243" s="89"/>
      <c r="AC243" s="89"/>
      <c r="AD243" s="89"/>
      <c r="AE243" s="89"/>
      <c r="AF243" s="89"/>
      <c r="AG243" s="89"/>
      <c r="AH243" s="89"/>
      <c r="AI243" s="89"/>
      <c r="AJ243" s="89"/>
      <c r="AK243" s="89"/>
      <c r="AL243" s="89"/>
      <c r="AM243" s="89"/>
      <c r="AN243" s="89"/>
      <c r="AO243" s="89"/>
      <c r="AP243" s="89"/>
      <c r="AQ243" s="89"/>
    </row>
    <row r="244" spans="2:43" ht="14.65" hidden="1" customHeight="1" outlineLevel="1">
      <c r="B244" s="437">
        <f t="shared" si="4"/>
        <v>57</v>
      </c>
      <c r="C244" s="255" t="s">
        <v>461</v>
      </c>
      <c r="D244" s="494"/>
      <c r="E244" s="494"/>
      <c r="F244" s="89"/>
      <c r="G244" s="89"/>
      <c r="H244" s="89"/>
      <c r="I244" s="89"/>
      <c r="J244" s="89"/>
      <c r="K244" s="89"/>
      <c r="L244" s="89"/>
      <c r="M244" s="89"/>
      <c r="N244" s="89"/>
      <c r="O244" s="89"/>
      <c r="P244" s="89"/>
      <c r="Q244" s="89"/>
      <c r="R244" s="89"/>
      <c r="S244" s="89"/>
      <c r="T244" s="89"/>
      <c r="U244" s="89"/>
      <c r="V244" s="89"/>
      <c r="W244" s="89"/>
      <c r="X244" s="494"/>
      <c r="Y244" s="494"/>
      <c r="Z244" s="89"/>
      <c r="AA244" s="89"/>
      <c r="AB244" s="89"/>
      <c r="AC244" s="89"/>
      <c r="AD244" s="89"/>
      <c r="AE244" s="89"/>
      <c r="AF244" s="89"/>
      <c r="AG244" s="89"/>
      <c r="AH244" s="89"/>
      <c r="AI244" s="89"/>
      <c r="AJ244" s="89"/>
      <c r="AK244" s="89"/>
      <c r="AL244" s="89"/>
      <c r="AM244" s="89"/>
      <c r="AN244" s="89"/>
      <c r="AO244" s="89"/>
      <c r="AP244" s="89"/>
      <c r="AQ244" s="89"/>
    </row>
    <row r="245" spans="2:43" ht="14.65" hidden="1" customHeight="1" outlineLevel="1">
      <c r="B245" s="437">
        <f t="shared" si="4"/>
        <v>58</v>
      </c>
      <c r="C245" s="255" t="s">
        <v>461</v>
      </c>
      <c r="D245" s="494"/>
      <c r="E245" s="494"/>
      <c r="F245" s="89"/>
      <c r="G245" s="89"/>
      <c r="H245" s="89"/>
      <c r="I245" s="89"/>
      <c r="J245" s="89"/>
      <c r="K245" s="89"/>
      <c r="L245" s="89"/>
      <c r="M245" s="89"/>
      <c r="N245" s="89"/>
      <c r="O245" s="89"/>
      <c r="P245" s="89"/>
      <c r="Q245" s="89"/>
      <c r="R245" s="89"/>
      <c r="S245" s="89"/>
      <c r="T245" s="89"/>
      <c r="U245" s="89"/>
      <c r="V245" s="89"/>
      <c r="W245" s="89"/>
      <c r="X245" s="494"/>
      <c r="Y245" s="494"/>
      <c r="Z245" s="89"/>
      <c r="AA245" s="89"/>
      <c r="AB245" s="89"/>
      <c r="AC245" s="89"/>
      <c r="AD245" s="89"/>
      <c r="AE245" s="89"/>
      <c r="AF245" s="89"/>
      <c r="AG245" s="89"/>
      <c r="AH245" s="89"/>
      <c r="AI245" s="89"/>
      <c r="AJ245" s="89"/>
      <c r="AK245" s="89"/>
      <c r="AL245" s="89"/>
      <c r="AM245" s="89"/>
      <c r="AN245" s="89"/>
      <c r="AO245" s="89"/>
      <c r="AP245" s="89"/>
      <c r="AQ245" s="89"/>
    </row>
    <row r="246" spans="2:43" ht="14.65" hidden="1" customHeight="1" outlineLevel="1">
      <c r="B246" s="437">
        <f t="shared" si="4"/>
        <v>59</v>
      </c>
      <c r="C246" s="255" t="s">
        <v>461</v>
      </c>
      <c r="D246" s="494"/>
      <c r="E246" s="494"/>
      <c r="F246" s="89"/>
      <c r="G246" s="89"/>
      <c r="H246" s="89"/>
      <c r="I246" s="89"/>
      <c r="J246" s="89"/>
      <c r="K246" s="89"/>
      <c r="L246" s="89"/>
      <c r="M246" s="89"/>
      <c r="N246" s="89"/>
      <c r="O246" s="89"/>
      <c r="P246" s="89"/>
      <c r="Q246" s="89"/>
      <c r="R246" s="89"/>
      <c r="S246" s="89"/>
      <c r="T246" s="89"/>
      <c r="U246" s="89"/>
      <c r="V246" s="89"/>
      <c r="W246" s="89"/>
      <c r="X246" s="494"/>
      <c r="Y246" s="494"/>
      <c r="Z246" s="89"/>
      <c r="AA246" s="89"/>
      <c r="AB246" s="89"/>
      <c r="AC246" s="89"/>
      <c r="AD246" s="89"/>
      <c r="AE246" s="89"/>
      <c r="AF246" s="89"/>
      <c r="AG246" s="89"/>
      <c r="AH246" s="89"/>
      <c r="AI246" s="89"/>
      <c r="AJ246" s="89"/>
      <c r="AK246" s="89"/>
      <c r="AL246" s="89"/>
      <c r="AM246" s="89"/>
      <c r="AN246" s="89"/>
      <c r="AO246" s="89"/>
      <c r="AP246" s="89"/>
      <c r="AQ246" s="89"/>
    </row>
    <row r="247" spans="2:43" ht="14.65" hidden="1" customHeight="1" outlineLevel="1">
      <c r="B247" s="437">
        <f t="shared" si="4"/>
        <v>60</v>
      </c>
      <c r="C247" s="255" t="s">
        <v>461</v>
      </c>
      <c r="D247" s="494"/>
      <c r="E247" s="494"/>
      <c r="F247" s="89"/>
      <c r="G247" s="89"/>
      <c r="H247" s="89"/>
      <c r="I247" s="89"/>
      <c r="J247" s="89"/>
      <c r="K247" s="89"/>
      <c r="L247" s="89"/>
      <c r="M247" s="89"/>
      <c r="N247" s="89"/>
      <c r="O247" s="89"/>
      <c r="P247" s="89"/>
      <c r="Q247" s="89"/>
      <c r="R247" s="89"/>
      <c r="S247" s="89"/>
      <c r="T247" s="89"/>
      <c r="U247" s="89"/>
      <c r="V247" s="89"/>
      <c r="W247" s="89"/>
      <c r="X247" s="494"/>
      <c r="Y247" s="494"/>
      <c r="Z247" s="89"/>
      <c r="AA247" s="89"/>
      <c r="AB247" s="89"/>
      <c r="AC247" s="89"/>
      <c r="AD247" s="89"/>
      <c r="AE247" s="89"/>
      <c r="AF247" s="89"/>
      <c r="AG247" s="89"/>
      <c r="AH247" s="89"/>
      <c r="AI247" s="89"/>
      <c r="AJ247" s="89"/>
      <c r="AK247" s="89"/>
      <c r="AL247" s="89"/>
      <c r="AM247" s="89"/>
      <c r="AN247" s="89"/>
      <c r="AO247" s="89"/>
      <c r="AP247" s="89"/>
      <c r="AQ247" s="89"/>
    </row>
    <row r="248" spans="2:43" ht="14.65" hidden="1" customHeight="1" outlineLevel="1">
      <c r="B248" s="437">
        <f t="shared" si="4"/>
        <v>61</v>
      </c>
      <c r="C248" s="255" t="s">
        <v>461</v>
      </c>
      <c r="D248" s="494"/>
      <c r="E248" s="494"/>
      <c r="F248" s="89"/>
      <c r="G248" s="89"/>
      <c r="H248" s="89"/>
      <c r="I248" s="89"/>
      <c r="J248" s="89"/>
      <c r="K248" s="89"/>
      <c r="L248" s="89"/>
      <c r="M248" s="89"/>
      <c r="N248" s="89"/>
      <c r="O248" s="89"/>
      <c r="P248" s="89"/>
      <c r="Q248" s="89"/>
      <c r="R248" s="89"/>
      <c r="S248" s="89"/>
      <c r="T248" s="89"/>
      <c r="U248" s="89"/>
      <c r="V248" s="89"/>
      <c r="W248" s="89"/>
      <c r="X248" s="494"/>
      <c r="Y248" s="494"/>
      <c r="Z248" s="89"/>
      <c r="AA248" s="89"/>
      <c r="AB248" s="89"/>
      <c r="AC248" s="89"/>
      <c r="AD248" s="89"/>
      <c r="AE248" s="89"/>
      <c r="AF248" s="89"/>
      <c r="AG248" s="89"/>
      <c r="AH248" s="89"/>
      <c r="AI248" s="89"/>
      <c r="AJ248" s="89"/>
      <c r="AK248" s="89"/>
      <c r="AL248" s="89"/>
      <c r="AM248" s="89"/>
      <c r="AN248" s="89"/>
      <c r="AO248" s="89"/>
      <c r="AP248" s="89"/>
      <c r="AQ248" s="89"/>
    </row>
    <row r="249" spans="2:43" ht="14.65" hidden="1" customHeight="1" outlineLevel="1">
      <c r="B249" s="437">
        <f t="shared" si="4"/>
        <v>62</v>
      </c>
      <c r="C249" s="255" t="s">
        <v>461</v>
      </c>
      <c r="D249" s="494"/>
      <c r="E249" s="494"/>
      <c r="F249" s="89"/>
      <c r="G249" s="89"/>
      <c r="H249" s="89"/>
      <c r="I249" s="89"/>
      <c r="J249" s="89"/>
      <c r="K249" s="89"/>
      <c r="L249" s="89"/>
      <c r="M249" s="89"/>
      <c r="N249" s="89"/>
      <c r="O249" s="89"/>
      <c r="P249" s="89"/>
      <c r="Q249" s="89"/>
      <c r="R249" s="89"/>
      <c r="S249" s="89"/>
      <c r="T249" s="89"/>
      <c r="U249" s="89"/>
      <c r="V249" s="89"/>
      <c r="W249" s="89"/>
      <c r="X249" s="494"/>
      <c r="Y249" s="494"/>
      <c r="Z249" s="89"/>
      <c r="AA249" s="89"/>
      <c r="AB249" s="89"/>
      <c r="AC249" s="89"/>
      <c r="AD249" s="89"/>
      <c r="AE249" s="89"/>
      <c r="AF249" s="89"/>
      <c r="AG249" s="89"/>
      <c r="AH249" s="89"/>
      <c r="AI249" s="89"/>
      <c r="AJ249" s="89"/>
      <c r="AK249" s="89"/>
      <c r="AL249" s="89"/>
      <c r="AM249" s="89"/>
      <c r="AN249" s="89"/>
      <c r="AO249" s="89"/>
      <c r="AP249" s="89"/>
      <c r="AQ249" s="89"/>
    </row>
    <row r="250" spans="2:43" ht="14.65" hidden="1" customHeight="1" outlineLevel="1">
      <c r="B250" s="437">
        <f t="shared" si="4"/>
        <v>63</v>
      </c>
      <c r="C250" s="255" t="s">
        <v>461</v>
      </c>
      <c r="D250" s="494"/>
      <c r="E250" s="494"/>
      <c r="F250" s="89"/>
      <c r="G250" s="89"/>
      <c r="H250" s="89"/>
      <c r="I250" s="89"/>
      <c r="J250" s="89"/>
      <c r="K250" s="89"/>
      <c r="L250" s="89"/>
      <c r="M250" s="89"/>
      <c r="N250" s="89"/>
      <c r="O250" s="89"/>
      <c r="P250" s="89"/>
      <c r="Q250" s="89"/>
      <c r="R250" s="89"/>
      <c r="S250" s="89"/>
      <c r="T250" s="89"/>
      <c r="U250" s="89"/>
      <c r="V250" s="89"/>
      <c r="W250" s="89"/>
      <c r="X250" s="494"/>
      <c r="Y250" s="494"/>
      <c r="Z250" s="89"/>
      <c r="AA250" s="89"/>
      <c r="AB250" s="89"/>
      <c r="AC250" s="89"/>
      <c r="AD250" s="89"/>
      <c r="AE250" s="89"/>
      <c r="AF250" s="89"/>
      <c r="AG250" s="89"/>
      <c r="AH250" s="89"/>
      <c r="AI250" s="89"/>
      <c r="AJ250" s="89"/>
      <c r="AK250" s="89"/>
      <c r="AL250" s="89"/>
      <c r="AM250" s="89"/>
      <c r="AN250" s="89"/>
      <c r="AO250" s="89"/>
      <c r="AP250" s="89"/>
      <c r="AQ250" s="89"/>
    </row>
    <row r="251" spans="2:43" ht="14.65" hidden="1" customHeight="1" outlineLevel="1">
      <c r="B251" s="437">
        <f t="shared" si="4"/>
        <v>64</v>
      </c>
      <c r="C251" s="255" t="s">
        <v>461</v>
      </c>
      <c r="D251" s="494"/>
      <c r="E251" s="494"/>
      <c r="F251" s="89"/>
      <c r="G251" s="89"/>
      <c r="H251" s="89"/>
      <c r="I251" s="89"/>
      <c r="J251" s="89"/>
      <c r="K251" s="89"/>
      <c r="L251" s="89"/>
      <c r="M251" s="89"/>
      <c r="N251" s="89"/>
      <c r="O251" s="89"/>
      <c r="P251" s="89"/>
      <c r="Q251" s="89"/>
      <c r="R251" s="89"/>
      <c r="S251" s="89"/>
      <c r="T251" s="89"/>
      <c r="U251" s="89"/>
      <c r="V251" s="89"/>
      <c r="W251" s="89"/>
      <c r="X251" s="494"/>
      <c r="Y251" s="494"/>
      <c r="Z251" s="89"/>
      <c r="AA251" s="89"/>
      <c r="AB251" s="89"/>
      <c r="AC251" s="89"/>
      <c r="AD251" s="89"/>
      <c r="AE251" s="89"/>
      <c r="AF251" s="89"/>
      <c r="AG251" s="89"/>
      <c r="AH251" s="89"/>
      <c r="AI251" s="89"/>
      <c r="AJ251" s="89"/>
      <c r="AK251" s="89"/>
      <c r="AL251" s="89"/>
      <c r="AM251" s="89"/>
      <c r="AN251" s="89"/>
      <c r="AO251" s="89"/>
      <c r="AP251" s="89"/>
      <c r="AQ251" s="89"/>
    </row>
    <row r="252" spans="2:43" ht="14.65" hidden="1" customHeight="1" outlineLevel="1">
      <c r="B252" s="437">
        <f t="shared" si="4"/>
        <v>65</v>
      </c>
      <c r="C252" s="255" t="s">
        <v>461</v>
      </c>
      <c r="D252" s="494"/>
      <c r="E252" s="494"/>
      <c r="F252" s="89"/>
      <c r="G252" s="89"/>
      <c r="H252" s="89"/>
      <c r="I252" s="89"/>
      <c r="J252" s="89"/>
      <c r="K252" s="89"/>
      <c r="L252" s="89"/>
      <c r="M252" s="89"/>
      <c r="N252" s="89"/>
      <c r="O252" s="89"/>
      <c r="P252" s="89"/>
      <c r="Q252" s="89"/>
      <c r="R252" s="89"/>
      <c r="S252" s="89"/>
      <c r="T252" s="89"/>
      <c r="U252" s="89"/>
      <c r="V252" s="89"/>
      <c r="W252" s="89"/>
      <c r="X252" s="494"/>
      <c r="Y252" s="494"/>
      <c r="Z252" s="89"/>
      <c r="AA252" s="89"/>
      <c r="AB252" s="89"/>
      <c r="AC252" s="89"/>
      <c r="AD252" s="89"/>
      <c r="AE252" s="89"/>
      <c r="AF252" s="89"/>
      <c r="AG252" s="89"/>
      <c r="AH252" s="89"/>
      <c r="AI252" s="89"/>
      <c r="AJ252" s="89"/>
      <c r="AK252" s="89"/>
      <c r="AL252" s="89"/>
      <c r="AM252" s="89"/>
      <c r="AN252" s="89"/>
      <c r="AO252" s="89"/>
      <c r="AP252" s="89"/>
      <c r="AQ252" s="89"/>
    </row>
    <row r="253" spans="2:43" ht="14.65" hidden="1" customHeight="1" outlineLevel="1">
      <c r="B253" s="437">
        <f t="shared" si="4"/>
        <v>66</v>
      </c>
      <c r="C253" s="255" t="s">
        <v>461</v>
      </c>
      <c r="D253" s="494"/>
      <c r="E253" s="494"/>
      <c r="F253" s="89"/>
      <c r="G253" s="89"/>
      <c r="H253" s="89"/>
      <c r="I253" s="89"/>
      <c r="J253" s="89"/>
      <c r="K253" s="89"/>
      <c r="L253" s="89"/>
      <c r="M253" s="89"/>
      <c r="N253" s="89"/>
      <c r="O253" s="89"/>
      <c r="P253" s="89"/>
      <c r="Q253" s="89"/>
      <c r="R253" s="89"/>
      <c r="S253" s="89"/>
      <c r="T253" s="89"/>
      <c r="U253" s="89"/>
      <c r="V253" s="89"/>
      <c r="W253" s="89"/>
      <c r="X253" s="494"/>
      <c r="Y253" s="494"/>
      <c r="Z253" s="89"/>
      <c r="AA253" s="89"/>
      <c r="AB253" s="89"/>
      <c r="AC253" s="89"/>
      <c r="AD253" s="89"/>
      <c r="AE253" s="89"/>
      <c r="AF253" s="89"/>
      <c r="AG253" s="89"/>
      <c r="AH253" s="89"/>
      <c r="AI253" s="89"/>
      <c r="AJ253" s="89"/>
      <c r="AK253" s="89"/>
      <c r="AL253" s="89"/>
      <c r="AM253" s="89"/>
      <c r="AN253" s="89"/>
      <c r="AO253" s="89"/>
      <c r="AP253" s="89"/>
      <c r="AQ253" s="89"/>
    </row>
    <row r="254" spans="2:43" ht="14.65" hidden="1" customHeight="1" outlineLevel="1">
      <c r="B254" s="437">
        <f t="shared" ref="B254:B267" si="5">1+B253</f>
        <v>67</v>
      </c>
      <c r="C254" s="255" t="s">
        <v>461</v>
      </c>
      <c r="D254" s="494"/>
      <c r="E254" s="494"/>
      <c r="F254" s="89"/>
      <c r="G254" s="89"/>
      <c r="H254" s="89"/>
      <c r="I254" s="89"/>
      <c r="J254" s="89"/>
      <c r="K254" s="89"/>
      <c r="L254" s="89"/>
      <c r="M254" s="89"/>
      <c r="N254" s="89"/>
      <c r="O254" s="89"/>
      <c r="P254" s="89"/>
      <c r="Q254" s="89"/>
      <c r="R254" s="89"/>
      <c r="S254" s="89"/>
      <c r="T254" s="89"/>
      <c r="U254" s="89"/>
      <c r="V254" s="89"/>
      <c r="W254" s="89"/>
      <c r="X254" s="494"/>
      <c r="Y254" s="494"/>
      <c r="Z254" s="89"/>
      <c r="AA254" s="89"/>
      <c r="AB254" s="89"/>
      <c r="AC254" s="89"/>
      <c r="AD254" s="89"/>
      <c r="AE254" s="89"/>
      <c r="AF254" s="89"/>
      <c r="AG254" s="89"/>
      <c r="AH254" s="89"/>
      <c r="AI254" s="89"/>
      <c r="AJ254" s="89"/>
      <c r="AK254" s="89"/>
      <c r="AL254" s="89"/>
      <c r="AM254" s="89"/>
      <c r="AN254" s="89"/>
      <c r="AO254" s="89"/>
      <c r="AP254" s="89"/>
      <c r="AQ254" s="89"/>
    </row>
    <row r="255" spans="2:43" ht="14.65" hidden="1" customHeight="1" outlineLevel="1">
      <c r="B255" s="437">
        <f t="shared" si="5"/>
        <v>68</v>
      </c>
      <c r="C255" s="255" t="s">
        <v>461</v>
      </c>
      <c r="D255" s="494"/>
      <c r="E255" s="494"/>
      <c r="F255" s="89"/>
      <c r="G255" s="89"/>
      <c r="H255" s="89"/>
      <c r="I255" s="89"/>
      <c r="J255" s="89"/>
      <c r="K255" s="89"/>
      <c r="L255" s="89"/>
      <c r="M255" s="89"/>
      <c r="N255" s="89"/>
      <c r="O255" s="89"/>
      <c r="P255" s="89"/>
      <c r="Q255" s="89"/>
      <c r="R255" s="89"/>
      <c r="S255" s="89"/>
      <c r="T255" s="89"/>
      <c r="U255" s="89"/>
      <c r="V255" s="89"/>
      <c r="W255" s="89"/>
      <c r="X255" s="494"/>
      <c r="Y255" s="494"/>
      <c r="Z255" s="89"/>
      <c r="AA255" s="89"/>
      <c r="AB255" s="89"/>
      <c r="AC255" s="89"/>
      <c r="AD255" s="89"/>
      <c r="AE255" s="89"/>
      <c r="AF255" s="89"/>
      <c r="AG255" s="89"/>
      <c r="AH255" s="89"/>
      <c r="AI255" s="89"/>
      <c r="AJ255" s="89"/>
      <c r="AK255" s="89"/>
      <c r="AL255" s="89"/>
      <c r="AM255" s="89"/>
      <c r="AN255" s="89"/>
      <c r="AO255" s="89"/>
      <c r="AP255" s="89"/>
      <c r="AQ255" s="89"/>
    </row>
    <row r="256" spans="2:43" ht="14.65" hidden="1" customHeight="1" outlineLevel="1">
      <c r="B256" s="437">
        <f t="shared" si="5"/>
        <v>69</v>
      </c>
      <c r="C256" s="255" t="s">
        <v>461</v>
      </c>
      <c r="D256" s="494"/>
      <c r="E256" s="494"/>
      <c r="F256" s="89"/>
      <c r="G256" s="89"/>
      <c r="H256" s="89"/>
      <c r="I256" s="89"/>
      <c r="J256" s="89"/>
      <c r="K256" s="89"/>
      <c r="L256" s="89"/>
      <c r="M256" s="89"/>
      <c r="N256" s="89"/>
      <c r="O256" s="89"/>
      <c r="P256" s="89"/>
      <c r="Q256" s="89"/>
      <c r="R256" s="89"/>
      <c r="S256" s="89"/>
      <c r="T256" s="89"/>
      <c r="U256" s="89"/>
      <c r="V256" s="89"/>
      <c r="W256" s="89"/>
      <c r="X256" s="494"/>
      <c r="Y256" s="494"/>
      <c r="Z256" s="89"/>
      <c r="AA256" s="89"/>
      <c r="AB256" s="89"/>
      <c r="AC256" s="89"/>
      <c r="AD256" s="89"/>
      <c r="AE256" s="89"/>
      <c r="AF256" s="89"/>
      <c r="AG256" s="89"/>
      <c r="AH256" s="89"/>
      <c r="AI256" s="89"/>
      <c r="AJ256" s="89"/>
      <c r="AK256" s="89"/>
      <c r="AL256" s="89"/>
      <c r="AM256" s="89"/>
      <c r="AN256" s="89"/>
      <c r="AO256" s="89"/>
      <c r="AP256" s="89"/>
      <c r="AQ256" s="89"/>
    </row>
    <row r="257" spans="2:43" ht="14.65" hidden="1" customHeight="1" outlineLevel="1">
      <c r="B257" s="437">
        <f t="shared" si="5"/>
        <v>70</v>
      </c>
      <c r="C257" s="255" t="s">
        <v>461</v>
      </c>
      <c r="D257" s="494"/>
      <c r="E257" s="494"/>
      <c r="F257" s="89"/>
      <c r="G257" s="89"/>
      <c r="H257" s="89"/>
      <c r="I257" s="89"/>
      <c r="J257" s="89"/>
      <c r="K257" s="89"/>
      <c r="L257" s="89"/>
      <c r="M257" s="89"/>
      <c r="N257" s="89"/>
      <c r="O257" s="89"/>
      <c r="P257" s="89"/>
      <c r="Q257" s="89"/>
      <c r="R257" s="89"/>
      <c r="S257" s="89"/>
      <c r="T257" s="89"/>
      <c r="U257" s="89"/>
      <c r="V257" s="89"/>
      <c r="W257" s="89"/>
      <c r="X257" s="494"/>
      <c r="Y257" s="494"/>
      <c r="Z257" s="89"/>
      <c r="AA257" s="89"/>
      <c r="AB257" s="89"/>
      <c r="AC257" s="89"/>
      <c r="AD257" s="89"/>
      <c r="AE257" s="89"/>
      <c r="AF257" s="89"/>
      <c r="AG257" s="89"/>
      <c r="AH257" s="89"/>
      <c r="AI257" s="89"/>
      <c r="AJ257" s="89"/>
      <c r="AK257" s="89"/>
      <c r="AL257" s="89"/>
      <c r="AM257" s="89"/>
      <c r="AN257" s="89"/>
      <c r="AO257" s="89"/>
      <c r="AP257" s="89"/>
      <c r="AQ257" s="89"/>
    </row>
    <row r="258" spans="2:43" ht="14.65" hidden="1" customHeight="1" outlineLevel="1">
      <c r="B258" s="437">
        <f t="shared" si="5"/>
        <v>71</v>
      </c>
      <c r="C258" s="255" t="s">
        <v>461</v>
      </c>
      <c r="D258" s="494"/>
      <c r="E258" s="494"/>
      <c r="F258" s="89"/>
      <c r="G258" s="89"/>
      <c r="H258" s="89"/>
      <c r="I258" s="89"/>
      <c r="J258" s="89"/>
      <c r="K258" s="89"/>
      <c r="L258" s="89"/>
      <c r="M258" s="89"/>
      <c r="N258" s="89"/>
      <c r="O258" s="89"/>
      <c r="P258" s="89"/>
      <c r="Q258" s="89"/>
      <c r="R258" s="89"/>
      <c r="S258" s="89"/>
      <c r="T258" s="89"/>
      <c r="U258" s="89"/>
      <c r="V258" s="89"/>
      <c r="W258" s="89"/>
      <c r="X258" s="494"/>
      <c r="Y258" s="494"/>
      <c r="Z258" s="89"/>
      <c r="AA258" s="89"/>
      <c r="AB258" s="89"/>
      <c r="AC258" s="89"/>
      <c r="AD258" s="89"/>
      <c r="AE258" s="89"/>
      <c r="AF258" s="89"/>
      <c r="AG258" s="89"/>
      <c r="AH258" s="89"/>
      <c r="AI258" s="89"/>
      <c r="AJ258" s="89"/>
      <c r="AK258" s="89"/>
      <c r="AL258" s="89"/>
      <c r="AM258" s="89"/>
      <c r="AN258" s="89"/>
      <c r="AO258" s="89"/>
      <c r="AP258" s="89"/>
      <c r="AQ258" s="89"/>
    </row>
    <row r="259" spans="2:43" ht="14.65" hidden="1" customHeight="1" outlineLevel="1">
      <c r="B259" s="437">
        <f t="shared" si="5"/>
        <v>72</v>
      </c>
      <c r="C259" s="255" t="s">
        <v>461</v>
      </c>
      <c r="D259" s="494"/>
      <c r="E259" s="494"/>
      <c r="F259" s="89"/>
      <c r="G259" s="89"/>
      <c r="H259" s="89"/>
      <c r="I259" s="89"/>
      <c r="J259" s="89"/>
      <c r="K259" s="89"/>
      <c r="L259" s="89"/>
      <c r="M259" s="89"/>
      <c r="N259" s="89"/>
      <c r="O259" s="89"/>
      <c r="P259" s="89"/>
      <c r="Q259" s="89"/>
      <c r="R259" s="89"/>
      <c r="S259" s="89"/>
      <c r="T259" s="89"/>
      <c r="U259" s="89"/>
      <c r="V259" s="89"/>
      <c r="W259" s="89"/>
      <c r="X259" s="494"/>
      <c r="Y259" s="494"/>
      <c r="Z259" s="89"/>
      <c r="AA259" s="89"/>
      <c r="AB259" s="89"/>
      <c r="AC259" s="89"/>
      <c r="AD259" s="89"/>
      <c r="AE259" s="89"/>
      <c r="AF259" s="89"/>
      <c r="AG259" s="89"/>
      <c r="AH259" s="89"/>
      <c r="AI259" s="89"/>
      <c r="AJ259" s="89"/>
      <c r="AK259" s="89"/>
      <c r="AL259" s="89"/>
      <c r="AM259" s="89"/>
      <c r="AN259" s="89"/>
      <c r="AO259" s="89"/>
      <c r="AP259" s="89"/>
      <c r="AQ259" s="89"/>
    </row>
    <row r="260" spans="2:43" ht="14.65" hidden="1" customHeight="1" outlineLevel="1">
      <c r="B260" s="437">
        <f t="shared" si="5"/>
        <v>73</v>
      </c>
      <c r="C260" s="255" t="s">
        <v>461</v>
      </c>
      <c r="D260" s="494"/>
      <c r="E260" s="494"/>
      <c r="F260" s="89"/>
      <c r="G260" s="89"/>
      <c r="H260" s="89"/>
      <c r="I260" s="89"/>
      <c r="J260" s="89"/>
      <c r="K260" s="89"/>
      <c r="L260" s="89"/>
      <c r="M260" s="89"/>
      <c r="N260" s="89"/>
      <c r="O260" s="89"/>
      <c r="P260" s="89"/>
      <c r="Q260" s="89"/>
      <c r="R260" s="89"/>
      <c r="S260" s="89"/>
      <c r="T260" s="89"/>
      <c r="U260" s="89"/>
      <c r="V260" s="89"/>
      <c r="W260" s="89"/>
      <c r="X260" s="494"/>
      <c r="Y260" s="494"/>
      <c r="Z260" s="89"/>
      <c r="AA260" s="89"/>
      <c r="AB260" s="89"/>
      <c r="AC260" s="89"/>
      <c r="AD260" s="89"/>
      <c r="AE260" s="89"/>
      <c r="AF260" s="89"/>
      <c r="AG260" s="89"/>
      <c r="AH260" s="89"/>
      <c r="AI260" s="89"/>
      <c r="AJ260" s="89"/>
      <c r="AK260" s="89"/>
      <c r="AL260" s="89"/>
      <c r="AM260" s="89"/>
      <c r="AN260" s="89"/>
      <c r="AO260" s="89"/>
      <c r="AP260" s="89"/>
      <c r="AQ260" s="89"/>
    </row>
    <row r="261" spans="2:43" ht="14.65" hidden="1" customHeight="1" outlineLevel="1">
      <c r="B261" s="437">
        <f t="shared" si="5"/>
        <v>74</v>
      </c>
      <c r="C261" s="255" t="s">
        <v>461</v>
      </c>
      <c r="D261" s="494"/>
      <c r="E261" s="494"/>
      <c r="F261" s="89"/>
      <c r="G261" s="89"/>
      <c r="H261" s="89"/>
      <c r="I261" s="89"/>
      <c r="J261" s="89"/>
      <c r="K261" s="89"/>
      <c r="L261" s="89"/>
      <c r="M261" s="89"/>
      <c r="N261" s="89"/>
      <c r="O261" s="89"/>
      <c r="P261" s="89"/>
      <c r="Q261" s="89"/>
      <c r="R261" s="89"/>
      <c r="S261" s="89"/>
      <c r="T261" s="89"/>
      <c r="U261" s="89"/>
      <c r="V261" s="89"/>
      <c r="W261" s="89"/>
      <c r="X261" s="494"/>
      <c r="Y261" s="494"/>
      <c r="Z261" s="89"/>
      <c r="AA261" s="89"/>
      <c r="AB261" s="89"/>
      <c r="AC261" s="89"/>
      <c r="AD261" s="89"/>
      <c r="AE261" s="89"/>
      <c r="AF261" s="89"/>
      <c r="AG261" s="89"/>
      <c r="AH261" s="89"/>
      <c r="AI261" s="89"/>
      <c r="AJ261" s="89"/>
      <c r="AK261" s="89"/>
      <c r="AL261" s="89"/>
      <c r="AM261" s="89"/>
      <c r="AN261" s="89"/>
      <c r="AO261" s="89"/>
      <c r="AP261" s="89"/>
      <c r="AQ261" s="89"/>
    </row>
    <row r="262" spans="2:43" ht="14.65" hidden="1" customHeight="1" outlineLevel="1">
      <c r="B262" s="437">
        <f t="shared" si="5"/>
        <v>75</v>
      </c>
      <c r="C262" s="255" t="s">
        <v>461</v>
      </c>
      <c r="D262" s="494"/>
      <c r="E262" s="494"/>
      <c r="F262" s="89"/>
      <c r="G262" s="89"/>
      <c r="H262" s="89"/>
      <c r="I262" s="89"/>
      <c r="J262" s="89"/>
      <c r="K262" s="89"/>
      <c r="L262" s="89"/>
      <c r="M262" s="89"/>
      <c r="N262" s="89"/>
      <c r="O262" s="89"/>
      <c r="P262" s="89"/>
      <c r="Q262" s="89"/>
      <c r="R262" s="89"/>
      <c r="S262" s="89"/>
      <c r="T262" s="89"/>
      <c r="U262" s="89"/>
      <c r="V262" s="89"/>
      <c r="W262" s="89"/>
      <c r="X262" s="494"/>
      <c r="Y262" s="494"/>
      <c r="Z262" s="89"/>
      <c r="AA262" s="89"/>
      <c r="AB262" s="89"/>
      <c r="AC262" s="89"/>
      <c r="AD262" s="89"/>
      <c r="AE262" s="89"/>
      <c r="AF262" s="89"/>
      <c r="AG262" s="89"/>
      <c r="AH262" s="89"/>
      <c r="AI262" s="89"/>
      <c r="AJ262" s="89"/>
      <c r="AK262" s="89"/>
      <c r="AL262" s="89"/>
      <c r="AM262" s="89"/>
      <c r="AN262" s="89"/>
      <c r="AO262" s="89"/>
      <c r="AP262" s="89"/>
      <c r="AQ262" s="89"/>
    </row>
    <row r="263" spans="2:43" ht="14.65" hidden="1" customHeight="1" outlineLevel="1">
      <c r="B263" s="437">
        <f t="shared" si="5"/>
        <v>76</v>
      </c>
      <c r="C263" s="255" t="s">
        <v>461</v>
      </c>
      <c r="D263" s="494"/>
      <c r="E263" s="494"/>
      <c r="F263" s="89"/>
      <c r="G263" s="89"/>
      <c r="H263" s="89"/>
      <c r="I263" s="89"/>
      <c r="J263" s="89"/>
      <c r="K263" s="89"/>
      <c r="L263" s="89"/>
      <c r="M263" s="89"/>
      <c r="N263" s="89"/>
      <c r="O263" s="89"/>
      <c r="P263" s="89"/>
      <c r="Q263" s="89"/>
      <c r="R263" s="89"/>
      <c r="S263" s="89"/>
      <c r="T263" s="89"/>
      <c r="U263" s="89"/>
      <c r="V263" s="89"/>
      <c r="W263" s="89"/>
      <c r="X263" s="494"/>
      <c r="Y263" s="494"/>
      <c r="Z263" s="89"/>
      <c r="AA263" s="89"/>
      <c r="AB263" s="89"/>
      <c r="AC263" s="89"/>
      <c r="AD263" s="89"/>
      <c r="AE263" s="89"/>
      <c r="AF263" s="89"/>
      <c r="AG263" s="89"/>
      <c r="AH263" s="89"/>
      <c r="AI263" s="89"/>
      <c r="AJ263" s="89"/>
      <c r="AK263" s="89"/>
      <c r="AL263" s="89"/>
      <c r="AM263" s="89"/>
      <c r="AN263" s="89"/>
      <c r="AO263" s="89"/>
      <c r="AP263" s="89"/>
      <c r="AQ263" s="89"/>
    </row>
    <row r="264" spans="2:43" ht="14.65" hidden="1" customHeight="1" outlineLevel="1">
      <c r="B264" s="437">
        <f t="shared" si="5"/>
        <v>77</v>
      </c>
      <c r="C264" s="255" t="s">
        <v>461</v>
      </c>
      <c r="D264" s="494"/>
      <c r="E264" s="494"/>
      <c r="F264" s="89"/>
      <c r="G264" s="89"/>
      <c r="H264" s="89"/>
      <c r="I264" s="89"/>
      <c r="J264" s="89"/>
      <c r="K264" s="89"/>
      <c r="L264" s="89"/>
      <c r="M264" s="89"/>
      <c r="N264" s="89"/>
      <c r="O264" s="89"/>
      <c r="P264" s="89"/>
      <c r="Q264" s="89"/>
      <c r="R264" s="89"/>
      <c r="S264" s="89"/>
      <c r="T264" s="89"/>
      <c r="U264" s="89"/>
      <c r="V264" s="89"/>
      <c r="W264" s="89"/>
      <c r="X264" s="494"/>
      <c r="Y264" s="494"/>
      <c r="Z264" s="89"/>
      <c r="AA264" s="89"/>
      <c r="AB264" s="89"/>
      <c r="AC264" s="89"/>
      <c r="AD264" s="89"/>
      <c r="AE264" s="89"/>
      <c r="AF264" s="89"/>
      <c r="AG264" s="89"/>
      <c r="AH264" s="89"/>
      <c r="AI264" s="89"/>
      <c r="AJ264" s="89"/>
      <c r="AK264" s="89"/>
      <c r="AL264" s="89"/>
      <c r="AM264" s="89"/>
      <c r="AN264" s="89"/>
      <c r="AO264" s="89"/>
      <c r="AP264" s="89"/>
      <c r="AQ264" s="89"/>
    </row>
    <row r="265" spans="2:43" ht="14.65" hidden="1" customHeight="1" outlineLevel="1">
      <c r="B265" s="437">
        <f t="shared" si="5"/>
        <v>78</v>
      </c>
      <c r="C265" s="255" t="s">
        <v>461</v>
      </c>
      <c r="D265" s="494"/>
      <c r="E265" s="494"/>
      <c r="F265" s="89"/>
      <c r="G265" s="89"/>
      <c r="H265" s="89"/>
      <c r="I265" s="89"/>
      <c r="J265" s="89"/>
      <c r="K265" s="89"/>
      <c r="L265" s="89"/>
      <c r="M265" s="89"/>
      <c r="N265" s="89"/>
      <c r="O265" s="89"/>
      <c r="P265" s="89"/>
      <c r="Q265" s="89"/>
      <c r="R265" s="89"/>
      <c r="S265" s="89"/>
      <c r="T265" s="89"/>
      <c r="U265" s="89"/>
      <c r="V265" s="89"/>
      <c r="W265" s="89"/>
      <c r="X265" s="494"/>
      <c r="Y265" s="494"/>
      <c r="Z265" s="89"/>
      <c r="AA265" s="89"/>
      <c r="AB265" s="89"/>
      <c r="AC265" s="89"/>
      <c r="AD265" s="89"/>
      <c r="AE265" s="89"/>
      <c r="AF265" s="89"/>
      <c r="AG265" s="89"/>
      <c r="AH265" s="89"/>
      <c r="AI265" s="89"/>
      <c r="AJ265" s="89"/>
      <c r="AK265" s="89"/>
      <c r="AL265" s="89"/>
      <c r="AM265" s="89"/>
      <c r="AN265" s="89"/>
      <c r="AO265" s="89"/>
      <c r="AP265" s="89"/>
      <c r="AQ265" s="89"/>
    </row>
    <row r="266" spans="2:43" ht="14.65" hidden="1" customHeight="1" outlineLevel="1">
      <c r="B266" s="437">
        <f t="shared" si="5"/>
        <v>79</v>
      </c>
      <c r="C266" s="255" t="s">
        <v>461</v>
      </c>
      <c r="D266" s="494"/>
      <c r="E266" s="494"/>
      <c r="F266" s="89"/>
      <c r="G266" s="89"/>
      <c r="H266" s="89"/>
      <c r="I266" s="89"/>
      <c r="J266" s="89"/>
      <c r="K266" s="89"/>
      <c r="L266" s="89"/>
      <c r="M266" s="89"/>
      <c r="N266" s="89"/>
      <c r="O266" s="89"/>
      <c r="P266" s="89"/>
      <c r="Q266" s="89"/>
      <c r="R266" s="89"/>
      <c r="S266" s="89"/>
      <c r="T266" s="89"/>
      <c r="U266" s="89"/>
      <c r="V266" s="89"/>
      <c r="W266" s="89"/>
      <c r="X266" s="494"/>
      <c r="Y266" s="494"/>
      <c r="Z266" s="89"/>
      <c r="AA266" s="89"/>
      <c r="AB266" s="89"/>
      <c r="AC266" s="89"/>
      <c r="AD266" s="89"/>
      <c r="AE266" s="89"/>
      <c r="AF266" s="89"/>
      <c r="AG266" s="89"/>
      <c r="AH266" s="89"/>
      <c r="AI266" s="89"/>
      <c r="AJ266" s="89"/>
      <c r="AK266" s="89"/>
      <c r="AL266" s="89"/>
      <c r="AM266" s="89"/>
      <c r="AN266" s="89"/>
      <c r="AO266" s="89"/>
      <c r="AP266" s="89"/>
      <c r="AQ266" s="89"/>
    </row>
    <row r="267" spans="2:43" ht="12.4" customHeight="1" collapsed="1">
      <c r="B267" s="437">
        <f t="shared" si="5"/>
        <v>80</v>
      </c>
      <c r="C267" s="255" t="s">
        <v>461</v>
      </c>
      <c r="D267" s="494"/>
      <c r="E267" s="494"/>
      <c r="F267" s="89"/>
      <c r="G267" s="89"/>
      <c r="H267" s="89"/>
      <c r="I267" s="89"/>
      <c r="J267" s="89"/>
      <c r="K267" s="89"/>
      <c r="L267" s="89"/>
      <c r="M267" s="89"/>
      <c r="N267" s="89"/>
      <c r="O267" s="89"/>
      <c r="P267" s="89"/>
      <c r="Q267" s="89"/>
      <c r="R267" s="89"/>
      <c r="S267" s="89"/>
      <c r="T267" s="89"/>
      <c r="U267" s="89"/>
      <c r="V267" s="89"/>
      <c r="W267" s="89"/>
      <c r="X267" s="494"/>
      <c r="Y267" s="494"/>
      <c r="Z267" s="89"/>
      <c r="AA267" s="89"/>
      <c r="AB267" s="89"/>
      <c r="AC267" s="89"/>
      <c r="AD267" s="89"/>
      <c r="AE267" s="89"/>
      <c r="AF267" s="89"/>
      <c r="AG267" s="89"/>
      <c r="AH267" s="89"/>
      <c r="AI267" s="89"/>
      <c r="AJ267" s="89"/>
      <c r="AK267" s="89"/>
      <c r="AL267" s="89"/>
      <c r="AM267" s="89"/>
      <c r="AN267" s="89"/>
      <c r="AO267" s="89"/>
      <c r="AP267" s="89"/>
      <c r="AQ267" s="89"/>
    </row>
    <row r="268" spans="2:43" ht="12">
      <c r="B268" s="251"/>
      <c r="C268" s="488"/>
    </row>
    <row r="269" spans="2:43" ht="12">
      <c r="B269" s="251"/>
      <c r="C269" s="251" t="s">
        <v>998</v>
      </c>
    </row>
    <row r="270" spans="2:43" ht="12">
      <c r="B270" s="251"/>
      <c r="C270" s="488"/>
    </row>
    <row r="271" spans="2:43" ht="12">
      <c r="B271" s="251"/>
      <c r="C271" s="488"/>
    </row>
    <row r="272" spans="2:43" ht="12">
      <c r="B272" s="251"/>
      <c r="C272" s="488">
        <v>1</v>
      </c>
      <c r="D272">
        <v>2</v>
      </c>
      <c r="E272" s="488">
        <v>3</v>
      </c>
      <c r="F272">
        <v>4</v>
      </c>
      <c r="G272" s="488">
        <v>5</v>
      </c>
      <c r="H272">
        <v>6</v>
      </c>
      <c r="I272" s="488">
        <v>7</v>
      </c>
      <c r="J272">
        <v>8</v>
      </c>
      <c r="K272" s="488">
        <v>9</v>
      </c>
      <c r="L272">
        <v>10</v>
      </c>
      <c r="M272" s="488">
        <v>11</v>
      </c>
      <c r="N272">
        <v>12</v>
      </c>
      <c r="O272" s="488">
        <v>13</v>
      </c>
      <c r="P272">
        <v>14</v>
      </c>
      <c r="Q272" s="488">
        <v>15</v>
      </c>
      <c r="R272">
        <v>16</v>
      </c>
      <c r="S272" s="488">
        <v>17</v>
      </c>
      <c r="T272">
        <v>18</v>
      </c>
      <c r="U272" s="488">
        <v>19</v>
      </c>
      <c r="V272">
        <v>20</v>
      </c>
      <c r="W272" s="488">
        <v>21</v>
      </c>
      <c r="X272">
        <v>22</v>
      </c>
      <c r="Y272" s="488">
        <v>23</v>
      </c>
      <c r="Z272">
        <v>24</v>
      </c>
    </row>
    <row r="273" spans="2:26" ht="12">
      <c r="B273" s="251"/>
      <c r="C273" s="96" t="s">
        <v>877</v>
      </c>
    </row>
    <row r="274" spans="2:26" ht="12">
      <c r="B274" s="251"/>
      <c r="C274" s="427">
        <v>2024</v>
      </c>
      <c r="D274" s="96" t="s">
        <v>1073</v>
      </c>
    </row>
    <row r="275" spans="2:26" ht="12">
      <c r="B275" s="251"/>
      <c r="C275" s="488"/>
    </row>
    <row r="276" spans="2:26" ht="15.75">
      <c r="B276" s="251"/>
      <c r="C276" s="489" t="s">
        <v>874</v>
      </c>
      <c r="D276" s="452"/>
      <c r="E276" s="452"/>
      <c r="F276" s="452"/>
      <c r="G276" s="453"/>
    </row>
    <row r="277" spans="2:26" ht="12">
      <c r="B277" s="251"/>
    </row>
    <row r="278" spans="2:26" ht="24">
      <c r="B278" s="251"/>
      <c r="C278" s="266" t="s">
        <v>1043</v>
      </c>
      <c r="E278" s="490" t="s">
        <v>1044</v>
      </c>
      <c r="F278" s="556" t="s">
        <v>1045</v>
      </c>
      <c r="G278" s="557"/>
      <c r="H278" s="557"/>
      <c r="I278" s="558"/>
      <c r="J278" s="559" t="s">
        <v>1046</v>
      </c>
      <c r="K278" s="559"/>
      <c r="L278" s="491" t="s">
        <v>1047</v>
      </c>
      <c r="M278" s="492" t="s">
        <v>1048</v>
      </c>
      <c r="N278" s="556" t="s">
        <v>1049</v>
      </c>
      <c r="O278" s="557"/>
      <c r="P278" s="557"/>
      <c r="Q278" s="557"/>
      <c r="R278" s="557"/>
      <c r="S278" s="557"/>
      <c r="T278" s="557"/>
      <c r="U278" s="558"/>
      <c r="V278" s="490" t="s">
        <v>1050</v>
      </c>
      <c r="W278" s="490"/>
      <c r="X278" s="566" t="s">
        <v>1074</v>
      </c>
      <c r="Y278" s="566"/>
      <c r="Z278" s="566"/>
    </row>
    <row r="279" spans="2:26" ht="48">
      <c r="B279" s="251"/>
      <c r="C279" s="430" t="s">
        <v>461</v>
      </c>
      <c r="D279" s="480" t="s">
        <v>762</v>
      </c>
      <c r="E279" s="480" t="s">
        <v>1044</v>
      </c>
      <c r="F279" s="480" t="s">
        <v>1051</v>
      </c>
      <c r="G279" s="480" t="s">
        <v>1052</v>
      </c>
      <c r="H279" s="480" t="s">
        <v>1053</v>
      </c>
      <c r="I279" s="493" t="s">
        <v>1054</v>
      </c>
      <c r="J279" s="430" t="s">
        <v>1046</v>
      </c>
      <c r="K279" s="430" t="s">
        <v>1055</v>
      </c>
      <c r="L279" s="480" t="s">
        <v>739</v>
      </c>
      <c r="M279" s="480" t="s">
        <v>1056</v>
      </c>
      <c r="N279" s="480" t="s">
        <v>1057</v>
      </c>
      <c r="O279" s="480" t="s">
        <v>1058</v>
      </c>
      <c r="P279" s="480" t="s">
        <v>1059</v>
      </c>
      <c r="Q279" s="480" t="s">
        <v>1060</v>
      </c>
      <c r="R279" s="480" t="s">
        <v>1061</v>
      </c>
      <c r="S279" s="480" t="s">
        <v>1062</v>
      </c>
      <c r="T279" s="480" t="s">
        <v>1063</v>
      </c>
      <c r="U279" s="480" t="s">
        <v>1064</v>
      </c>
      <c r="V279" s="480" t="s">
        <v>1065</v>
      </c>
      <c r="W279" s="480" t="s">
        <v>1066</v>
      </c>
      <c r="X279" s="505" t="s">
        <v>1075</v>
      </c>
      <c r="Y279" s="505" t="s">
        <v>1076</v>
      </c>
      <c r="Z279" s="505" t="s">
        <v>1077</v>
      </c>
    </row>
    <row r="280" spans="2:26" ht="14.25">
      <c r="B280" s="437">
        <v>1</v>
      </c>
      <c r="C280" s="255" t="s">
        <v>174</v>
      </c>
      <c r="D280" s="494">
        <v>300.86</v>
      </c>
      <c r="E280" s="495">
        <v>0</v>
      </c>
      <c r="F280" s="483">
        <v>0</v>
      </c>
      <c r="G280" s="483">
        <v>0</v>
      </c>
      <c r="H280" s="483">
        <v>0</v>
      </c>
      <c r="I280" s="483">
        <v>0</v>
      </c>
      <c r="J280" s="487">
        <v>0</v>
      </c>
      <c r="K280" s="487">
        <v>387</v>
      </c>
      <c r="L280" s="89"/>
      <c r="M280" s="89"/>
      <c r="N280" s="89"/>
      <c r="O280" s="89"/>
      <c r="P280" s="89"/>
      <c r="Q280" s="89"/>
      <c r="R280" s="89"/>
      <c r="S280" s="89"/>
      <c r="T280" s="89"/>
      <c r="U280" s="89"/>
      <c r="V280" s="89"/>
      <c r="W280" s="89"/>
      <c r="X280" s="337">
        <f>IFERROR(E280,"")</f>
        <v>0</v>
      </c>
      <c r="Y280" s="192">
        <f>SUM(F280:I280)</f>
        <v>0</v>
      </c>
      <c r="Z280" s="337">
        <f>J280+K280</f>
        <v>387</v>
      </c>
    </row>
    <row r="281" spans="2:26" ht="14.25">
      <c r="B281" s="437">
        <f>1+B280</f>
        <v>2</v>
      </c>
      <c r="C281" s="255" t="s">
        <v>185</v>
      </c>
      <c r="D281" s="494">
        <v>775</v>
      </c>
      <c r="E281" s="495">
        <v>0</v>
      </c>
      <c r="F281" s="483">
        <v>0</v>
      </c>
      <c r="G281" s="483">
        <v>0</v>
      </c>
      <c r="H281" s="483">
        <v>0</v>
      </c>
      <c r="I281" s="483">
        <v>0</v>
      </c>
      <c r="J281" s="483">
        <v>760</v>
      </c>
      <c r="K281" s="483">
        <v>0</v>
      </c>
      <c r="L281" s="89"/>
      <c r="M281" s="89"/>
      <c r="N281" s="89"/>
      <c r="O281" s="89"/>
      <c r="P281" s="89"/>
      <c r="Q281" s="89"/>
      <c r="R281" s="89"/>
      <c r="S281" s="89"/>
      <c r="T281" s="89"/>
      <c r="U281" s="89"/>
      <c r="V281" s="89"/>
      <c r="W281" s="89"/>
      <c r="X281" s="337">
        <f t="shared" ref="X281:X322" si="6">E281</f>
        <v>0</v>
      </c>
      <c r="Y281" s="192">
        <f t="shared" ref="Y281:Y322" si="7">SUM(F281:I281)</f>
        <v>0</v>
      </c>
      <c r="Z281" s="337">
        <f t="shared" ref="Z281:Z322" si="8">J281+K281</f>
        <v>760</v>
      </c>
    </row>
    <row r="282" spans="2:26" ht="14.25">
      <c r="B282" s="437">
        <f t="shared" ref="B282:B345" si="9">1+B281</f>
        <v>3</v>
      </c>
      <c r="C282" s="255" t="s">
        <v>178</v>
      </c>
      <c r="D282" s="494">
        <v>343.97</v>
      </c>
      <c r="E282" s="495">
        <v>0</v>
      </c>
      <c r="F282" s="483">
        <v>0</v>
      </c>
      <c r="G282" s="483">
        <v>0</v>
      </c>
      <c r="H282" s="483">
        <v>0</v>
      </c>
      <c r="I282" s="483">
        <v>0</v>
      </c>
      <c r="J282" s="483">
        <v>0</v>
      </c>
      <c r="K282" s="483">
        <v>294</v>
      </c>
      <c r="L282" s="89"/>
      <c r="M282" s="89"/>
      <c r="N282" s="89"/>
      <c r="O282" s="89"/>
      <c r="P282" s="89"/>
      <c r="Q282" s="89"/>
      <c r="R282" s="89"/>
      <c r="S282" s="89"/>
      <c r="T282" s="89"/>
      <c r="U282" s="89"/>
      <c r="V282" s="89"/>
      <c r="W282" s="89"/>
      <c r="X282" s="337">
        <f t="shared" si="6"/>
        <v>0</v>
      </c>
      <c r="Y282" s="192">
        <f t="shared" si="7"/>
        <v>0</v>
      </c>
      <c r="Z282" s="337">
        <f t="shared" si="8"/>
        <v>294</v>
      </c>
    </row>
    <row r="283" spans="2:26" ht="14.25">
      <c r="B283" s="437">
        <f t="shared" si="9"/>
        <v>4</v>
      </c>
      <c r="C283" s="255" t="s">
        <v>181</v>
      </c>
      <c r="D283" s="494">
        <v>387.07</v>
      </c>
      <c r="E283" s="495">
        <v>0</v>
      </c>
      <c r="F283" s="483">
        <v>0</v>
      </c>
      <c r="G283" s="483">
        <v>0</v>
      </c>
      <c r="H283" s="483">
        <v>0</v>
      </c>
      <c r="I283" s="483">
        <v>0</v>
      </c>
      <c r="J283" s="483">
        <v>0</v>
      </c>
      <c r="K283" s="483">
        <v>281</v>
      </c>
      <c r="L283" s="89"/>
      <c r="M283" s="89"/>
      <c r="N283" s="89"/>
      <c r="O283" s="89"/>
      <c r="P283" s="89"/>
      <c r="Q283" s="89"/>
      <c r="R283" s="89"/>
      <c r="S283" s="89"/>
      <c r="T283" s="89"/>
      <c r="U283" s="89"/>
      <c r="V283" s="89"/>
      <c r="W283" s="89"/>
      <c r="X283" s="337">
        <f t="shared" si="6"/>
        <v>0</v>
      </c>
      <c r="Y283" s="192">
        <f t="shared" si="7"/>
        <v>0</v>
      </c>
      <c r="Z283" s="337">
        <f t="shared" si="8"/>
        <v>281</v>
      </c>
    </row>
    <row r="284" spans="2:26" ht="14.25">
      <c r="B284" s="437">
        <f t="shared" si="9"/>
        <v>5</v>
      </c>
      <c r="C284" s="255" t="s">
        <v>183</v>
      </c>
      <c r="D284" s="494">
        <v>473.28</v>
      </c>
      <c r="E284" s="495">
        <v>0</v>
      </c>
      <c r="F284" s="483">
        <v>0</v>
      </c>
      <c r="G284" s="483">
        <v>0</v>
      </c>
      <c r="H284" s="483">
        <v>0</v>
      </c>
      <c r="I284" s="483">
        <v>0</v>
      </c>
      <c r="J284" s="483">
        <v>0</v>
      </c>
      <c r="K284" s="483">
        <v>337</v>
      </c>
      <c r="L284" s="89"/>
      <c r="M284" s="89"/>
      <c r="N284" s="89"/>
      <c r="O284" s="89"/>
      <c r="P284" s="89"/>
      <c r="Q284" s="89"/>
      <c r="R284" s="89"/>
      <c r="S284" s="89"/>
      <c r="T284" s="89"/>
      <c r="U284" s="89"/>
      <c r="V284" s="89"/>
      <c r="W284" s="89"/>
      <c r="X284" s="337">
        <f t="shared" si="6"/>
        <v>0</v>
      </c>
      <c r="Y284" s="192">
        <f t="shared" si="7"/>
        <v>0</v>
      </c>
      <c r="Z284" s="337">
        <f t="shared" si="8"/>
        <v>337</v>
      </c>
    </row>
    <row r="285" spans="2:26" ht="14.25">
      <c r="B285" s="437">
        <f t="shared" si="9"/>
        <v>6</v>
      </c>
      <c r="C285" s="255" t="s">
        <v>167</v>
      </c>
      <c r="D285" s="494">
        <v>240.52</v>
      </c>
      <c r="E285" s="495">
        <v>0</v>
      </c>
      <c r="F285" s="483">
        <v>0</v>
      </c>
      <c r="G285" s="483">
        <v>0</v>
      </c>
      <c r="H285" s="483">
        <v>0</v>
      </c>
      <c r="I285" s="483">
        <v>0</v>
      </c>
      <c r="J285" s="483">
        <v>250</v>
      </c>
      <c r="K285" s="483">
        <v>0</v>
      </c>
      <c r="L285" s="89"/>
      <c r="M285" s="89"/>
      <c r="N285" s="89"/>
      <c r="O285" s="89"/>
      <c r="P285" s="89"/>
      <c r="Q285" s="89"/>
      <c r="R285" s="89"/>
      <c r="S285" s="89"/>
      <c r="T285" s="89"/>
      <c r="U285" s="89"/>
      <c r="V285" s="89"/>
      <c r="W285" s="89"/>
      <c r="X285" s="337">
        <f t="shared" si="6"/>
        <v>0</v>
      </c>
      <c r="Y285" s="192">
        <f t="shared" si="7"/>
        <v>0</v>
      </c>
      <c r="Z285" s="337">
        <f t="shared" si="8"/>
        <v>250</v>
      </c>
    </row>
    <row r="286" spans="2:26" ht="14.25">
      <c r="B286" s="437">
        <f t="shared" si="9"/>
        <v>7</v>
      </c>
      <c r="C286" s="126" t="s">
        <v>170</v>
      </c>
      <c r="D286" s="494">
        <v>257.76</v>
      </c>
      <c r="E286" s="495">
        <v>0</v>
      </c>
      <c r="F286" s="483">
        <v>0</v>
      </c>
      <c r="G286" s="483">
        <v>0</v>
      </c>
      <c r="H286" s="483">
        <v>0</v>
      </c>
      <c r="I286" s="483">
        <v>0</v>
      </c>
      <c r="J286" s="483">
        <v>282</v>
      </c>
      <c r="K286" s="483">
        <v>0</v>
      </c>
      <c r="L286" s="89"/>
      <c r="M286" s="89"/>
      <c r="N286" s="89"/>
      <c r="O286" s="89"/>
      <c r="P286" s="89"/>
      <c r="Q286" s="89"/>
      <c r="R286" s="89"/>
      <c r="S286" s="89"/>
      <c r="T286" s="89"/>
      <c r="U286" s="89"/>
      <c r="V286" s="89"/>
      <c r="W286" s="89"/>
      <c r="X286" s="337">
        <f t="shared" si="6"/>
        <v>0</v>
      </c>
      <c r="Y286" s="192">
        <f t="shared" si="7"/>
        <v>0</v>
      </c>
      <c r="Z286" s="337">
        <f t="shared" si="8"/>
        <v>282</v>
      </c>
    </row>
    <row r="287" spans="2:26" ht="14.25">
      <c r="B287" s="437">
        <f t="shared" si="9"/>
        <v>8</v>
      </c>
      <c r="C287" s="126" t="s">
        <v>188</v>
      </c>
      <c r="D287" s="494">
        <v>257.76</v>
      </c>
      <c r="E287" s="495">
        <v>0</v>
      </c>
      <c r="F287" s="483">
        <v>0</v>
      </c>
      <c r="G287" s="483">
        <v>0</v>
      </c>
      <c r="H287" s="483">
        <v>0</v>
      </c>
      <c r="I287" s="483">
        <v>0</v>
      </c>
      <c r="J287" s="483">
        <v>263</v>
      </c>
      <c r="K287" s="483">
        <v>0</v>
      </c>
      <c r="L287" s="89"/>
      <c r="M287" s="89"/>
      <c r="N287" s="89"/>
      <c r="O287" s="89"/>
      <c r="P287" s="89"/>
      <c r="Q287" s="89"/>
      <c r="R287" s="89"/>
      <c r="S287" s="89"/>
      <c r="T287" s="89"/>
      <c r="U287" s="89"/>
      <c r="V287" s="89"/>
      <c r="W287" s="89"/>
      <c r="X287" s="337">
        <f t="shared" si="6"/>
        <v>0</v>
      </c>
      <c r="Y287" s="192">
        <f t="shared" si="7"/>
        <v>0</v>
      </c>
      <c r="Z287" s="337">
        <f t="shared" si="8"/>
        <v>263</v>
      </c>
    </row>
    <row r="288" spans="2:26" ht="14.25">
      <c r="B288" s="437">
        <f t="shared" si="9"/>
        <v>9</v>
      </c>
      <c r="C288" s="255" t="s">
        <v>190</v>
      </c>
      <c r="D288" s="494">
        <v>300.86</v>
      </c>
      <c r="E288" s="495">
        <v>0</v>
      </c>
      <c r="F288" s="483">
        <v>0</v>
      </c>
      <c r="G288" s="483">
        <v>0</v>
      </c>
      <c r="H288" s="483">
        <v>0</v>
      </c>
      <c r="I288" s="483">
        <v>0</v>
      </c>
      <c r="J288" s="483">
        <v>0</v>
      </c>
      <c r="K288" s="483">
        <v>322</v>
      </c>
      <c r="L288" s="89"/>
      <c r="M288" s="89"/>
      <c r="N288" s="89"/>
      <c r="O288" s="89"/>
      <c r="P288" s="89"/>
      <c r="Q288" s="89"/>
      <c r="R288" s="89"/>
      <c r="S288" s="89"/>
      <c r="T288" s="89"/>
      <c r="U288" s="89"/>
      <c r="V288" s="89"/>
      <c r="W288" s="89"/>
      <c r="X288" s="337">
        <f t="shared" si="6"/>
        <v>0</v>
      </c>
      <c r="Y288" s="192">
        <f t="shared" si="7"/>
        <v>0</v>
      </c>
      <c r="Z288" s="337">
        <f t="shared" si="8"/>
        <v>322</v>
      </c>
    </row>
    <row r="289" spans="2:26" ht="14.25" outlineLevel="1">
      <c r="B289" s="437">
        <f t="shared" si="9"/>
        <v>10</v>
      </c>
      <c r="C289" s="255" t="s">
        <v>192</v>
      </c>
      <c r="D289" s="494">
        <v>343.97</v>
      </c>
      <c r="E289" s="495">
        <v>0</v>
      </c>
      <c r="F289" s="483">
        <v>0</v>
      </c>
      <c r="G289" s="483">
        <v>0</v>
      </c>
      <c r="H289" s="483">
        <v>0</v>
      </c>
      <c r="I289" s="483">
        <v>0</v>
      </c>
      <c r="J289" s="483">
        <v>0</v>
      </c>
      <c r="K289" s="483">
        <v>404</v>
      </c>
      <c r="L289" s="89"/>
      <c r="M289" s="89"/>
      <c r="N289" s="89"/>
      <c r="O289" s="89"/>
      <c r="P289" s="89"/>
      <c r="Q289" s="89"/>
      <c r="R289" s="89"/>
      <c r="S289" s="89"/>
      <c r="T289" s="89"/>
      <c r="U289" s="89"/>
      <c r="V289" s="89"/>
      <c r="W289" s="89"/>
      <c r="X289" s="337">
        <f t="shared" si="6"/>
        <v>0</v>
      </c>
      <c r="Y289" s="192">
        <f t="shared" si="7"/>
        <v>0</v>
      </c>
      <c r="Z289" s="337">
        <f t="shared" si="8"/>
        <v>404</v>
      </c>
    </row>
    <row r="290" spans="2:26" ht="14.25" outlineLevel="1">
      <c r="B290" s="437">
        <f t="shared" si="9"/>
        <v>11</v>
      </c>
      <c r="C290" s="255" t="s">
        <v>193</v>
      </c>
      <c r="D290" s="494">
        <v>387.07</v>
      </c>
      <c r="E290" s="495">
        <v>0</v>
      </c>
      <c r="F290" s="483">
        <v>0</v>
      </c>
      <c r="G290" s="483">
        <v>0</v>
      </c>
      <c r="H290" s="483">
        <v>0</v>
      </c>
      <c r="I290" s="483">
        <v>0</v>
      </c>
      <c r="J290" s="483">
        <v>0</v>
      </c>
      <c r="K290" s="483">
        <v>344</v>
      </c>
      <c r="L290" s="89"/>
      <c r="M290" s="89"/>
      <c r="N290" s="89"/>
      <c r="O290" s="89"/>
      <c r="P290" s="89"/>
      <c r="Q290" s="89"/>
      <c r="R290" s="89"/>
      <c r="S290" s="89"/>
      <c r="T290" s="89"/>
      <c r="U290" s="89"/>
      <c r="V290" s="89"/>
      <c r="W290" s="89"/>
      <c r="X290" s="337">
        <f t="shared" si="6"/>
        <v>0</v>
      </c>
      <c r="Y290" s="192">
        <f t="shared" si="7"/>
        <v>0</v>
      </c>
      <c r="Z290" s="337">
        <f t="shared" si="8"/>
        <v>344</v>
      </c>
    </row>
    <row r="291" spans="2:26" ht="14.25" outlineLevel="1">
      <c r="B291" s="437">
        <f t="shared" si="9"/>
        <v>12</v>
      </c>
      <c r="C291" s="255" t="s">
        <v>194</v>
      </c>
      <c r="D291" s="494">
        <v>473.28</v>
      </c>
      <c r="E291" s="495">
        <v>0</v>
      </c>
      <c r="F291" s="483">
        <v>0</v>
      </c>
      <c r="G291" s="483">
        <v>0</v>
      </c>
      <c r="H291" s="483">
        <v>0</v>
      </c>
      <c r="I291" s="483">
        <v>0</v>
      </c>
      <c r="J291" s="483">
        <v>0</v>
      </c>
      <c r="K291" s="483">
        <v>389</v>
      </c>
      <c r="L291" s="89"/>
      <c r="M291" s="89"/>
      <c r="N291" s="89"/>
      <c r="O291" s="89"/>
      <c r="P291" s="89"/>
      <c r="Q291" s="89"/>
      <c r="R291" s="89"/>
      <c r="S291" s="89"/>
      <c r="T291" s="89"/>
      <c r="U291" s="89"/>
      <c r="V291" s="89"/>
      <c r="W291" s="89"/>
      <c r="X291" s="337">
        <f t="shared" si="6"/>
        <v>0</v>
      </c>
      <c r="Y291" s="192">
        <f t="shared" si="7"/>
        <v>0</v>
      </c>
      <c r="Z291" s="337">
        <f t="shared" si="8"/>
        <v>389</v>
      </c>
    </row>
    <row r="292" spans="2:26" ht="14.25" outlineLevel="1">
      <c r="B292" s="437">
        <f t="shared" si="9"/>
        <v>13</v>
      </c>
      <c r="C292" s="255" t="s">
        <v>196</v>
      </c>
      <c r="D292" s="494">
        <v>775</v>
      </c>
      <c r="E292" s="495">
        <v>0</v>
      </c>
      <c r="F292" s="483">
        <v>0</v>
      </c>
      <c r="G292" s="483">
        <v>0</v>
      </c>
      <c r="H292" s="483">
        <v>0</v>
      </c>
      <c r="I292" s="483">
        <v>0</v>
      </c>
      <c r="J292" s="483">
        <v>774</v>
      </c>
      <c r="K292" s="483">
        <v>0</v>
      </c>
      <c r="L292" s="89"/>
      <c r="M292" s="89"/>
      <c r="N292" s="89"/>
      <c r="O292" s="89"/>
      <c r="P292" s="89"/>
      <c r="Q292" s="89"/>
      <c r="R292" s="89"/>
      <c r="S292" s="89"/>
      <c r="T292" s="89"/>
      <c r="U292" s="89"/>
      <c r="V292" s="89"/>
      <c r="W292" s="89"/>
      <c r="X292" s="337">
        <f t="shared" si="6"/>
        <v>0</v>
      </c>
      <c r="Y292" s="192">
        <f t="shared" si="7"/>
        <v>0</v>
      </c>
      <c r="Z292" s="337">
        <f t="shared" si="8"/>
        <v>774</v>
      </c>
    </row>
    <row r="293" spans="2:26" ht="14.25" outlineLevel="1">
      <c r="B293" s="437">
        <f t="shared" si="9"/>
        <v>14</v>
      </c>
      <c r="C293" s="255" t="s">
        <v>166</v>
      </c>
      <c r="D293" s="494">
        <v>210.24</v>
      </c>
      <c r="E293" s="495">
        <v>196</v>
      </c>
      <c r="F293" s="483">
        <v>0</v>
      </c>
      <c r="G293" s="483">
        <v>0</v>
      </c>
      <c r="H293" s="483">
        <v>0</v>
      </c>
      <c r="I293" s="483">
        <v>0</v>
      </c>
      <c r="J293" s="483">
        <v>68</v>
      </c>
      <c r="K293" s="483">
        <v>0</v>
      </c>
      <c r="L293" s="89"/>
      <c r="M293" s="89"/>
      <c r="N293" s="89"/>
      <c r="O293" s="89"/>
      <c r="P293" s="89"/>
      <c r="Q293" s="89"/>
      <c r="R293" s="89"/>
      <c r="S293" s="89"/>
      <c r="T293" s="89"/>
      <c r="U293" s="89"/>
      <c r="V293" s="89"/>
      <c r="W293" s="89"/>
      <c r="X293" s="337">
        <f t="shared" si="6"/>
        <v>196</v>
      </c>
      <c r="Y293" s="192">
        <f t="shared" si="7"/>
        <v>0</v>
      </c>
      <c r="Z293" s="337">
        <f t="shared" si="8"/>
        <v>68</v>
      </c>
    </row>
    <row r="294" spans="2:26" ht="14.25" outlineLevel="1">
      <c r="B294" s="437">
        <f t="shared" si="9"/>
        <v>15</v>
      </c>
      <c r="C294" s="255" t="s">
        <v>169</v>
      </c>
      <c r="D294" s="494">
        <v>244.01</v>
      </c>
      <c r="E294" s="495">
        <v>154</v>
      </c>
      <c r="F294" s="483">
        <v>5</v>
      </c>
      <c r="G294" s="483">
        <v>0</v>
      </c>
      <c r="H294" s="483">
        <v>0</v>
      </c>
      <c r="I294" s="483">
        <v>0</v>
      </c>
      <c r="J294" s="483">
        <v>65</v>
      </c>
      <c r="K294" s="483">
        <v>0</v>
      </c>
      <c r="L294" s="89"/>
      <c r="M294" s="89"/>
      <c r="N294" s="89"/>
      <c r="O294" s="89"/>
      <c r="P294" s="89"/>
      <c r="Q294" s="89"/>
      <c r="R294" s="89"/>
      <c r="S294" s="89"/>
      <c r="T294" s="89"/>
      <c r="U294" s="89"/>
      <c r="V294" s="89"/>
      <c r="W294" s="89"/>
      <c r="X294" s="337">
        <f t="shared" si="6"/>
        <v>154</v>
      </c>
      <c r="Y294" s="192">
        <f t="shared" si="7"/>
        <v>5</v>
      </c>
      <c r="Z294" s="337">
        <f t="shared" si="8"/>
        <v>65</v>
      </c>
    </row>
    <row r="295" spans="2:26" ht="14.25" outlineLevel="1">
      <c r="B295" s="437">
        <f t="shared" si="9"/>
        <v>16</v>
      </c>
      <c r="C295" s="255" t="s">
        <v>180</v>
      </c>
      <c r="D295" s="494">
        <v>367.29</v>
      </c>
      <c r="E295" s="495">
        <v>113</v>
      </c>
      <c r="F295" s="483">
        <v>11</v>
      </c>
      <c r="G295" s="483">
        <v>3</v>
      </c>
      <c r="H295" s="483">
        <v>1</v>
      </c>
      <c r="I295" s="483">
        <v>21</v>
      </c>
      <c r="J295" s="483">
        <v>0</v>
      </c>
      <c r="K295" s="483">
        <v>161</v>
      </c>
      <c r="L295" s="89"/>
      <c r="M295" s="89"/>
      <c r="N295" s="89"/>
      <c r="O295" s="89"/>
      <c r="P295" s="89"/>
      <c r="Q295" s="89"/>
      <c r="R295" s="89"/>
      <c r="S295" s="89"/>
      <c r="T295" s="89"/>
      <c r="U295" s="89"/>
      <c r="V295" s="89"/>
      <c r="W295" s="89"/>
      <c r="X295" s="337">
        <f t="shared" si="6"/>
        <v>113</v>
      </c>
      <c r="Y295" s="192">
        <f t="shared" si="7"/>
        <v>36</v>
      </c>
      <c r="Z295" s="337">
        <f t="shared" si="8"/>
        <v>161</v>
      </c>
    </row>
    <row r="296" spans="2:26" ht="14.25" outlineLevel="1">
      <c r="B296" s="437">
        <f t="shared" si="9"/>
        <v>17</v>
      </c>
      <c r="C296" s="255" t="s">
        <v>182</v>
      </c>
      <c r="D296" s="494">
        <v>421.32</v>
      </c>
      <c r="E296" s="495">
        <v>143</v>
      </c>
      <c r="F296" s="483">
        <v>16</v>
      </c>
      <c r="G296" s="483">
        <v>5</v>
      </c>
      <c r="H296" s="483">
        <v>1</v>
      </c>
      <c r="I296" s="483">
        <v>19</v>
      </c>
      <c r="J296" s="483">
        <v>0</v>
      </c>
      <c r="K296" s="483">
        <v>221</v>
      </c>
      <c r="L296" s="89"/>
      <c r="M296" s="89"/>
      <c r="N296" s="89"/>
      <c r="O296" s="89"/>
      <c r="P296" s="89"/>
      <c r="Q296" s="89"/>
      <c r="R296" s="89"/>
      <c r="S296" s="89"/>
      <c r="T296" s="89"/>
      <c r="U296" s="89"/>
      <c r="V296" s="89"/>
      <c r="W296" s="89"/>
      <c r="X296" s="337">
        <f t="shared" si="6"/>
        <v>143</v>
      </c>
      <c r="Y296" s="192">
        <f t="shared" si="7"/>
        <v>41</v>
      </c>
      <c r="Z296" s="337">
        <f t="shared" si="8"/>
        <v>221</v>
      </c>
    </row>
    <row r="297" spans="2:26" ht="14.25" outlineLevel="1">
      <c r="B297" s="437">
        <f t="shared" si="9"/>
        <v>18</v>
      </c>
      <c r="C297" s="255" t="s">
        <v>184</v>
      </c>
      <c r="D297" s="494">
        <v>505.76</v>
      </c>
      <c r="E297" s="495">
        <v>153</v>
      </c>
      <c r="F297" s="483">
        <v>18</v>
      </c>
      <c r="G297" s="483">
        <v>8</v>
      </c>
      <c r="H297" s="483">
        <v>3</v>
      </c>
      <c r="I297" s="483">
        <v>18</v>
      </c>
      <c r="J297" s="483">
        <v>0</v>
      </c>
      <c r="K297" s="483">
        <v>364</v>
      </c>
      <c r="L297" s="89"/>
      <c r="M297" s="89"/>
      <c r="N297" s="89"/>
      <c r="O297" s="89"/>
      <c r="P297" s="89"/>
      <c r="Q297" s="89"/>
      <c r="R297" s="89"/>
      <c r="S297" s="89"/>
      <c r="T297" s="89"/>
      <c r="U297" s="89"/>
      <c r="V297" s="89"/>
      <c r="W297" s="89"/>
      <c r="X297" s="337">
        <f t="shared" si="6"/>
        <v>153</v>
      </c>
      <c r="Y297" s="192">
        <f t="shared" si="7"/>
        <v>47</v>
      </c>
      <c r="Z297" s="337">
        <f t="shared" si="8"/>
        <v>364</v>
      </c>
    </row>
    <row r="298" spans="2:26" ht="14.25" outlineLevel="1">
      <c r="B298" s="437">
        <f t="shared" si="9"/>
        <v>19</v>
      </c>
      <c r="C298" s="255" t="s">
        <v>187</v>
      </c>
      <c r="D298" s="494">
        <v>547.98</v>
      </c>
      <c r="E298" s="495">
        <v>162</v>
      </c>
      <c r="F298" s="483">
        <v>14</v>
      </c>
      <c r="G298" s="483">
        <v>6</v>
      </c>
      <c r="H298" s="483">
        <v>2</v>
      </c>
      <c r="I298" s="483">
        <v>22</v>
      </c>
      <c r="J298" s="483">
        <v>0</v>
      </c>
      <c r="K298" s="483">
        <v>279</v>
      </c>
      <c r="L298" s="89"/>
      <c r="M298" s="89"/>
      <c r="N298" s="89"/>
      <c r="O298" s="89"/>
      <c r="P298" s="89"/>
      <c r="Q298" s="89"/>
      <c r="R298" s="89"/>
      <c r="S298" s="89"/>
      <c r="T298" s="89"/>
      <c r="U298" s="89"/>
      <c r="V298" s="89"/>
      <c r="W298" s="89"/>
      <c r="X298" s="337">
        <f t="shared" si="6"/>
        <v>162</v>
      </c>
      <c r="Y298" s="192">
        <f t="shared" si="7"/>
        <v>44</v>
      </c>
      <c r="Z298" s="337">
        <f t="shared" si="8"/>
        <v>279</v>
      </c>
    </row>
    <row r="299" spans="2:26" ht="14.25" outlineLevel="1">
      <c r="B299" s="437">
        <f t="shared" si="9"/>
        <v>20</v>
      </c>
      <c r="C299" s="255" t="s">
        <v>177</v>
      </c>
      <c r="D299" s="494">
        <v>328.44</v>
      </c>
      <c r="E299" s="495">
        <v>131</v>
      </c>
      <c r="F299" s="483">
        <v>11</v>
      </c>
      <c r="G299" s="483">
        <v>4</v>
      </c>
      <c r="H299" s="483">
        <v>1</v>
      </c>
      <c r="I299" s="483">
        <v>15</v>
      </c>
      <c r="J299" s="483">
        <v>0</v>
      </c>
      <c r="K299" s="483">
        <v>97</v>
      </c>
      <c r="L299" s="89"/>
      <c r="M299" s="89"/>
      <c r="N299" s="89"/>
      <c r="O299" s="89"/>
      <c r="P299" s="89"/>
      <c r="Q299" s="89"/>
      <c r="R299" s="89"/>
      <c r="S299" s="89"/>
      <c r="T299" s="89"/>
      <c r="U299" s="89"/>
      <c r="V299" s="89"/>
      <c r="W299" s="89"/>
      <c r="X299" s="337">
        <f t="shared" si="6"/>
        <v>131</v>
      </c>
      <c r="Y299" s="192">
        <f t="shared" si="7"/>
        <v>31</v>
      </c>
      <c r="Z299" s="337">
        <f t="shared" si="8"/>
        <v>97</v>
      </c>
    </row>
    <row r="300" spans="2:26" ht="14.25" outlineLevel="1">
      <c r="B300" s="437">
        <f t="shared" si="9"/>
        <v>21</v>
      </c>
      <c r="C300" s="255" t="s">
        <v>195</v>
      </c>
      <c r="D300" s="494">
        <v>336.9</v>
      </c>
      <c r="E300" s="495">
        <v>221</v>
      </c>
      <c r="F300" s="483">
        <v>23</v>
      </c>
      <c r="G300" s="483">
        <v>1</v>
      </c>
      <c r="H300" s="483">
        <v>1</v>
      </c>
      <c r="I300" s="483">
        <v>12</v>
      </c>
      <c r="J300" s="483">
        <v>0</v>
      </c>
      <c r="K300" s="483">
        <v>120</v>
      </c>
      <c r="L300" s="89"/>
      <c r="M300" s="89"/>
      <c r="N300" s="89"/>
      <c r="O300" s="89"/>
      <c r="P300" s="89"/>
      <c r="Q300" s="89"/>
      <c r="R300" s="89"/>
      <c r="S300" s="89"/>
      <c r="T300" s="89"/>
      <c r="U300" s="89"/>
      <c r="V300" s="89"/>
      <c r="W300" s="89"/>
      <c r="X300" s="337">
        <f t="shared" si="6"/>
        <v>221</v>
      </c>
      <c r="Y300" s="192">
        <f t="shared" si="7"/>
        <v>37</v>
      </c>
      <c r="Z300" s="337">
        <f t="shared" si="8"/>
        <v>120</v>
      </c>
    </row>
    <row r="301" spans="2:26" ht="14.25" outlineLevel="1">
      <c r="B301" s="437">
        <f t="shared" si="9"/>
        <v>22</v>
      </c>
      <c r="C301" s="255" t="s">
        <v>191</v>
      </c>
      <c r="D301" s="494">
        <v>1181.23</v>
      </c>
      <c r="E301" s="495">
        <v>138</v>
      </c>
      <c r="F301" s="483">
        <v>6</v>
      </c>
      <c r="G301" s="483">
        <v>3</v>
      </c>
      <c r="H301" s="483">
        <v>2</v>
      </c>
      <c r="I301" s="483">
        <v>7</v>
      </c>
      <c r="J301" s="483">
        <v>1133</v>
      </c>
      <c r="K301" s="483">
        <v>0</v>
      </c>
      <c r="L301" s="89"/>
      <c r="M301" s="89"/>
      <c r="N301" s="89"/>
      <c r="O301" s="89"/>
      <c r="P301" s="89"/>
      <c r="Q301" s="89"/>
      <c r="R301" s="89"/>
      <c r="S301" s="89"/>
      <c r="T301" s="89"/>
      <c r="U301" s="89"/>
      <c r="V301" s="89"/>
      <c r="W301" s="89"/>
      <c r="X301" s="337">
        <f t="shared" si="6"/>
        <v>138</v>
      </c>
      <c r="Y301" s="192">
        <f t="shared" si="7"/>
        <v>18</v>
      </c>
      <c r="Z301" s="337">
        <f t="shared" si="8"/>
        <v>1133</v>
      </c>
    </row>
    <row r="302" spans="2:26" ht="14.25" outlineLevel="1">
      <c r="B302" s="437">
        <f t="shared" si="9"/>
        <v>23</v>
      </c>
      <c r="C302" s="255" t="s">
        <v>173</v>
      </c>
      <c r="D302" s="494">
        <v>281.16000000000003</v>
      </c>
      <c r="E302" s="495">
        <v>165</v>
      </c>
      <c r="F302" s="483">
        <v>7</v>
      </c>
      <c r="G302" s="483">
        <v>0</v>
      </c>
      <c r="H302" s="483">
        <v>0</v>
      </c>
      <c r="I302" s="483">
        <v>0</v>
      </c>
      <c r="J302" s="483">
        <v>87</v>
      </c>
      <c r="K302" s="483">
        <v>0</v>
      </c>
      <c r="L302" s="89"/>
      <c r="M302" s="89"/>
      <c r="N302" s="89"/>
      <c r="O302" s="89"/>
      <c r="P302" s="89"/>
      <c r="Q302" s="89"/>
      <c r="R302" s="89"/>
      <c r="S302" s="89"/>
      <c r="T302" s="89"/>
      <c r="U302" s="89"/>
      <c r="V302" s="89"/>
      <c r="W302" s="89"/>
      <c r="X302" s="337">
        <f t="shared" si="6"/>
        <v>165</v>
      </c>
      <c r="Y302" s="192">
        <f t="shared" si="7"/>
        <v>7</v>
      </c>
      <c r="Z302" s="337">
        <f t="shared" si="8"/>
        <v>87</v>
      </c>
    </row>
    <row r="303" spans="2:26" ht="14.25" outlineLevel="1">
      <c r="B303" s="437">
        <f t="shared" si="9"/>
        <v>24</v>
      </c>
      <c r="C303" s="255" t="s">
        <v>197</v>
      </c>
      <c r="D303" s="494">
        <v>463.55</v>
      </c>
      <c r="E303" s="495">
        <v>247</v>
      </c>
      <c r="F303" s="483">
        <v>23</v>
      </c>
      <c r="G303" s="483">
        <v>1</v>
      </c>
      <c r="H303" s="483">
        <v>1</v>
      </c>
      <c r="I303" s="483">
        <v>10</v>
      </c>
      <c r="J303" s="483">
        <v>0</v>
      </c>
      <c r="K303" s="483">
        <v>281</v>
      </c>
      <c r="L303" s="89"/>
      <c r="M303" s="89"/>
      <c r="N303" s="89"/>
      <c r="O303" s="89"/>
      <c r="P303" s="89"/>
      <c r="Q303" s="89"/>
      <c r="R303" s="89"/>
      <c r="S303" s="89"/>
      <c r="T303" s="89"/>
      <c r="U303" s="89"/>
      <c r="V303" s="89"/>
      <c r="W303" s="89"/>
      <c r="X303" s="337">
        <f t="shared" si="6"/>
        <v>247</v>
      </c>
      <c r="Y303" s="192">
        <f t="shared" si="7"/>
        <v>35</v>
      </c>
      <c r="Z303" s="337">
        <f t="shared" si="8"/>
        <v>281</v>
      </c>
    </row>
    <row r="304" spans="2:26" ht="14.25" outlineLevel="1">
      <c r="B304" s="437">
        <f t="shared" si="9"/>
        <v>25</v>
      </c>
      <c r="C304" s="255" t="s">
        <v>512</v>
      </c>
      <c r="D304" s="494">
        <v>674.64</v>
      </c>
      <c r="E304" s="495">
        <v>242</v>
      </c>
      <c r="F304" s="483">
        <v>33</v>
      </c>
      <c r="G304" s="483">
        <v>1</v>
      </c>
      <c r="H304" s="483">
        <v>1</v>
      </c>
      <c r="I304" s="483">
        <v>9</v>
      </c>
      <c r="J304" s="483">
        <v>0</v>
      </c>
      <c r="K304" s="483">
        <v>371</v>
      </c>
      <c r="L304" s="89"/>
      <c r="M304" s="89"/>
      <c r="N304" s="89"/>
      <c r="O304" s="89"/>
      <c r="P304" s="89"/>
      <c r="Q304" s="89"/>
      <c r="R304" s="89"/>
      <c r="S304" s="89"/>
      <c r="T304" s="89"/>
      <c r="U304" s="89"/>
      <c r="V304" s="89"/>
      <c r="W304" s="89"/>
      <c r="X304" s="337">
        <f t="shared" si="6"/>
        <v>242</v>
      </c>
      <c r="Y304" s="192">
        <f t="shared" si="7"/>
        <v>44</v>
      </c>
      <c r="Z304" s="337">
        <f t="shared" si="8"/>
        <v>371</v>
      </c>
    </row>
    <row r="305" spans="2:26" ht="14.25" outlineLevel="1">
      <c r="B305" s="437">
        <f t="shared" si="9"/>
        <v>26</v>
      </c>
      <c r="C305" s="255" t="s">
        <v>189</v>
      </c>
      <c r="D305" s="494">
        <v>843.5</v>
      </c>
      <c r="E305" s="495">
        <v>164</v>
      </c>
      <c r="F305" s="483">
        <v>16</v>
      </c>
      <c r="G305" s="483">
        <v>7</v>
      </c>
      <c r="H305" s="483">
        <v>2</v>
      </c>
      <c r="I305" s="483">
        <v>10</v>
      </c>
      <c r="J305" s="483">
        <v>0</v>
      </c>
      <c r="K305" s="483">
        <v>667</v>
      </c>
      <c r="L305" s="89"/>
      <c r="M305" s="89"/>
      <c r="N305" s="89"/>
      <c r="O305" s="89"/>
      <c r="P305" s="89"/>
      <c r="Q305" s="89"/>
      <c r="R305" s="89"/>
      <c r="S305" s="89"/>
      <c r="T305" s="89"/>
      <c r="U305" s="89"/>
      <c r="V305" s="89"/>
      <c r="W305" s="89"/>
      <c r="X305" s="337">
        <f t="shared" si="6"/>
        <v>164</v>
      </c>
      <c r="Y305" s="192">
        <f t="shared" si="7"/>
        <v>35</v>
      </c>
      <c r="Z305" s="337">
        <f t="shared" si="8"/>
        <v>667</v>
      </c>
    </row>
    <row r="306" spans="2:26" ht="14.25" outlineLevel="1">
      <c r="B306" s="437">
        <f t="shared" si="9"/>
        <v>27</v>
      </c>
      <c r="C306" s="255" t="s">
        <v>205</v>
      </c>
      <c r="D306" s="494">
        <v>1265.6600000000001</v>
      </c>
      <c r="E306" s="495">
        <v>149</v>
      </c>
      <c r="F306" s="483">
        <v>35</v>
      </c>
      <c r="G306" s="483">
        <v>1</v>
      </c>
      <c r="H306" s="483">
        <v>1</v>
      </c>
      <c r="I306" s="483">
        <v>13</v>
      </c>
      <c r="J306" s="483">
        <v>1094</v>
      </c>
      <c r="K306" s="483">
        <v>0</v>
      </c>
      <c r="L306" s="89"/>
      <c r="M306" s="89"/>
      <c r="N306" s="89"/>
      <c r="O306" s="89"/>
      <c r="P306" s="89"/>
      <c r="Q306" s="89"/>
      <c r="R306" s="89"/>
      <c r="S306" s="89"/>
      <c r="T306" s="89"/>
      <c r="U306" s="89"/>
      <c r="V306" s="89"/>
      <c r="W306" s="89"/>
      <c r="X306" s="337">
        <f t="shared" si="6"/>
        <v>149</v>
      </c>
      <c r="Y306" s="192">
        <f t="shared" si="7"/>
        <v>50</v>
      </c>
      <c r="Z306" s="337">
        <f t="shared" si="8"/>
        <v>1094</v>
      </c>
    </row>
    <row r="307" spans="2:26" ht="14.25" outlineLevel="1">
      <c r="B307" s="437">
        <f t="shared" si="9"/>
        <v>28</v>
      </c>
      <c r="C307" s="255" t="s">
        <v>206</v>
      </c>
      <c r="D307" s="494">
        <v>1510.52</v>
      </c>
      <c r="E307" s="495">
        <v>234</v>
      </c>
      <c r="F307" s="483">
        <v>35</v>
      </c>
      <c r="G307" s="483">
        <v>1</v>
      </c>
      <c r="H307" s="483">
        <v>1</v>
      </c>
      <c r="I307" s="483">
        <v>16</v>
      </c>
      <c r="J307" s="483">
        <v>1534</v>
      </c>
      <c r="K307" s="483">
        <v>0</v>
      </c>
      <c r="L307" s="89"/>
      <c r="M307" s="89"/>
      <c r="N307" s="89"/>
      <c r="O307" s="89"/>
      <c r="P307" s="89"/>
      <c r="Q307" s="89"/>
      <c r="R307" s="89"/>
      <c r="S307" s="89"/>
      <c r="T307" s="89"/>
      <c r="U307" s="89"/>
      <c r="V307" s="89"/>
      <c r="W307" s="89"/>
      <c r="X307" s="337">
        <f t="shared" si="6"/>
        <v>234</v>
      </c>
      <c r="Y307" s="192">
        <f t="shared" si="7"/>
        <v>53</v>
      </c>
      <c r="Z307" s="337">
        <f t="shared" si="8"/>
        <v>1534</v>
      </c>
    </row>
    <row r="308" spans="2:26" ht="14.25" outlineLevel="1">
      <c r="B308" s="437">
        <f t="shared" si="9"/>
        <v>29</v>
      </c>
      <c r="C308" s="255" t="s">
        <v>207</v>
      </c>
      <c r="D308" s="494">
        <v>1932.69</v>
      </c>
      <c r="E308" s="495">
        <v>149</v>
      </c>
      <c r="F308" s="483">
        <v>36</v>
      </c>
      <c r="G308" s="483">
        <v>3</v>
      </c>
      <c r="H308" s="483">
        <v>2</v>
      </c>
      <c r="I308" s="483">
        <v>12</v>
      </c>
      <c r="J308" s="483">
        <v>1931</v>
      </c>
      <c r="K308" s="483">
        <v>0</v>
      </c>
      <c r="L308" s="89"/>
      <c r="M308" s="89"/>
      <c r="N308" s="89"/>
      <c r="O308" s="89"/>
      <c r="P308" s="89"/>
      <c r="Q308" s="89"/>
      <c r="R308" s="89"/>
      <c r="S308" s="89"/>
      <c r="T308" s="89"/>
      <c r="U308" s="89"/>
      <c r="V308" s="89"/>
      <c r="W308" s="89"/>
      <c r="X308" s="337">
        <f t="shared" si="6"/>
        <v>149</v>
      </c>
      <c r="Y308" s="192">
        <f t="shared" si="7"/>
        <v>53</v>
      </c>
      <c r="Z308" s="337">
        <f t="shared" si="8"/>
        <v>1931</v>
      </c>
    </row>
    <row r="309" spans="2:26" ht="14.25" outlineLevel="1">
      <c r="B309" s="437">
        <f t="shared" si="9"/>
        <v>30</v>
      </c>
      <c r="C309" s="255" t="s">
        <v>198</v>
      </c>
      <c r="D309" s="494">
        <v>349</v>
      </c>
      <c r="E309" s="495">
        <v>0</v>
      </c>
      <c r="F309" s="483">
        <v>0</v>
      </c>
      <c r="G309" s="483">
        <v>0</v>
      </c>
      <c r="H309" s="483">
        <v>0</v>
      </c>
      <c r="I309" s="483">
        <v>0</v>
      </c>
      <c r="J309" s="483">
        <v>276</v>
      </c>
      <c r="K309" s="483">
        <v>0</v>
      </c>
      <c r="L309" s="89"/>
      <c r="M309" s="89"/>
      <c r="N309" s="89"/>
      <c r="O309" s="89"/>
      <c r="P309" s="89"/>
      <c r="Q309" s="89"/>
      <c r="R309" s="89"/>
      <c r="S309" s="89"/>
      <c r="T309" s="89"/>
      <c r="U309" s="89"/>
      <c r="V309" s="89"/>
      <c r="W309" s="89"/>
      <c r="X309" s="337">
        <f t="shared" si="6"/>
        <v>0</v>
      </c>
      <c r="Y309" s="192">
        <f t="shared" si="7"/>
        <v>0</v>
      </c>
      <c r="Z309" s="337">
        <f t="shared" si="8"/>
        <v>276</v>
      </c>
    </row>
    <row r="310" spans="2:26" ht="14.25" outlineLevel="1">
      <c r="B310" s="437">
        <f t="shared" si="9"/>
        <v>31</v>
      </c>
      <c r="C310" s="255" t="s">
        <v>200</v>
      </c>
      <c r="D310" s="494">
        <v>608.69000000000005</v>
      </c>
      <c r="E310" s="495">
        <v>0</v>
      </c>
      <c r="F310" s="483">
        <v>0</v>
      </c>
      <c r="G310" s="483">
        <v>0</v>
      </c>
      <c r="H310" s="483">
        <v>0</v>
      </c>
      <c r="I310" s="483">
        <v>0</v>
      </c>
      <c r="J310" s="483">
        <v>458</v>
      </c>
      <c r="K310" s="483">
        <v>0</v>
      </c>
      <c r="L310" s="89"/>
      <c r="M310" s="89"/>
      <c r="N310" s="89"/>
      <c r="O310" s="89"/>
      <c r="P310" s="89"/>
      <c r="Q310" s="89"/>
      <c r="R310" s="89"/>
      <c r="S310" s="89"/>
      <c r="T310" s="89"/>
      <c r="U310" s="89"/>
      <c r="V310" s="89"/>
      <c r="W310" s="89"/>
      <c r="X310" s="337">
        <f t="shared" si="6"/>
        <v>0</v>
      </c>
      <c r="Y310" s="192">
        <f t="shared" si="7"/>
        <v>0</v>
      </c>
      <c r="Z310" s="337">
        <f t="shared" si="8"/>
        <v>458</v>
      </c>
    </row>
    <row r="311" spans="2:26" ht="14.25" outlineLevel="1">
      <c r="B311" s="437">
        <f t="shared" si="9"/>
        <v>32</v>
      </c>
      <c r="C311" s="255" t="s">
        <v>202</v>
      </c>
      <c r="D311" s="494">
        <v>1042.5999999999999</v>
      </c>
      <c r="E311" s="495">
        <v>0</v>
      </c>
      <c r="F311" s="483">
        <v>0</v>
      </c>
      <c r="G311" s="483">
        <v>0</v>
      </c>
      <c r="H311" s="483">
        <v>0</v>
      </c>
      <c r="I311" s="483">
        <v>0</v>
      </c>
      <c r="J311" s="483">
        <v>1270</v>
      </c>
      <c r="K311" s="483">
        <v>0</v>
      </c>
      <c r="L311" s="89"/>
      <c r="M311" s="89"/>
      <c r="N311" s="89"/>
      <c r="O311" s="89"/>
      <c r="P311" s="89"/>
      <c r="Q311" s="89"/>
      <c r="R311" s="89"/>
      <c r="S311" s="89"/>
      <c r="T311" s="89"/>
      <c r="U311" s="89"/>
      <c r="V311" s="89"/>
      <c r="W311" s="89"/>
      <c r="X311" s="337">
        <f t="shared" si="6"/>
        <v>0</v>
      </c>
      <c r="Y311" s="192">
        <f t="shared" si="7"/>
        <v>0</v>
      </c>
      <c r="Z311" s="337">
        <f t="shared" si="8"/>
        <v>1270</v>
      </c>
    </row>
    <row r="312" spans="2:26" ht="14.25" outlineLevel="1">
      <c r="B312" s="437">
        <f t="shared" si="9"/>
        <v>33</v>
      </c>
      <c r="C312" s="255" t="s">
        <v>518</v>
      </c>
      <c r="D312" s="506">
        <v>172.41</v>
      </c>
      <c r="E312" s="495">
        <v>0</v>
      </c>
      <c r="F312" s="483">
        <v>0</v>
      </c>
      <c r="G312" s="483">
        <v>0</v>
      </c>
      <c r="H312" s="483">
        <v>0</v>
      </c>
      <c r="I312" s="483">
        <v>0</v>
      </c>
      <c r="J312" s="483">
        <v>584</v>
      </c>
      <c r="K312" s="483">
        <v>0</v>
      </c>
      <c r="L312" s="89"/>
      <c r="M312" s="89"/>
      <c r="N312" s="89"/>
      <c r="O312" s="89"/>
      <c r="P312" s="89"/>
      <c r="Q312" s="89"/>
      <c r="R312" s="89"/>
      <c r="S312" s="89"/>
      <c r="T312" s="89"/>
      <c r="U312" s="89"/>
      <c r="V312" s="89"/>
      <c r="W312" s="89"/>
      <c r="X312" s="337">
        <f t="shared" si="6"/>
        <v>0</v>
      </c>
      <c r="Y312" s="192">
        <f t="shared" si="7"/>
        <v>0</v>
      </c>
      <c r="Z312" s="337">
        <f t="shared" si="8"/>
        <v>584</v>
      </c>
    </row>
    <row r="313" spans="2:26" ht="14.25" outlineLevel="1">
      <c r="B313" s="437">
        <f>1+B312</f>
        <v>34</v>
      </c>
      <c r="C313" s="255" t="s">
        <v>521</v>
      </c>
      <c r="D313" s="506">
        <v>215.52</v>
      </c>
      <c r="E313" s="495">
        <v>0</v>
      </c>
      <c r="F313" s="483">
        <v>0</v>
      </c>
      <c r="G313" s="483">
        <v>0</v>
      </c>
      <c r="H313" s="483">
        <v>0</v>
      </c>
      <c r="I313" s="483">
        <v>0</v>
      </c>
      <c r="J313" s="483">
        <v>727</v>
      </c>
      <c r="K313" s="483">
        <v>0</v>
      </c>
      <c r="L313" s="89"/>
      <c r="M313" s="89"/>
      <c r="N313" s="89"/>
      <c r="O313" s="89"/>
      <c r="P313" s="89"/>
      <c r="Q313" s="89"/>
      <c r="R313" s="89"/>
      <c r="S313" s="89"/>
      <c r="T313" s="89"/>
      <c r="U313" s="89"/>
      <c r="V313" s="89"/>
      <c r="W313" s="89"/>
      <c r="X313" s="337">
        <f t="shared" si="6"/>
        <v>0</v>
      </c>
      <c r="Y313" s="192">
        <f t="shared" si="7"/>
        <v>0</v>
      </c>
      <c r="Z313" s="337">
        <f t="shared" si="8"/>
        <v>727</v>
      </c>
    </row>
    <row r="314" spans="2:26" ht="14.25" outlineLevel="1">
      <c r="B314" s="437"/>
      <c r="C314" s="507" t="s">
        <v>743</v>
      </c>
      <c r="D314" s="506">
        <v>241.38</v>
      </c>
      <c r="E314" s="495">
        <v>0</v>
      </c>
      <c r="F314" s="483">
        <v>0</v>
      </c>
      <c r="G314" s="483">
        <v>0</v>
      </c>
      <c r="H314" s="483">
        <v>0</v>
      </c>
      <c r="I314" s="483">
        <v>0</v>
      </c>
      <c r="J314" s="483">
        <v>0</v>
      </c>
      <c r="K314" s="483">
        <v>0</v>
      </c>
      <c r="L314" s="89"/>
      <c r="M314" s="89"/>
      <c r="N314" s="89"/>
      <c r="O314" s="89"/>
      <c r="P314" s="89"/>
      <c r="Q314" s="89"/>
      <c r="R314" s="89"/>
      <c r="S314" s="89"/>
      <c r="T314" s="89"/>
      <c r="U314" s="89"/>
      <c r="V314" s="89"/>
      <c r="W314" s="89"/>
      <c r="X314" s="337"/>
      <c r="Y314" s="192"/>
      <c r="Z314" s="337"/>
    </row>
    <row r="315" spans="2:26" ht="14.25" outlineLevel="1">
      <c r="B315" s="437">
        <f>1+B313</f>
        <v>35</v>
      </c>
      <c r="C315" s="255" t="s">
        <v>744</v>
      </c>
      <c r="D315" s="506">
        <v>258.63</v>
      </c>
      <c r="E315" s="495">
        <v>0</v>
      </c>
      <c r="F315" s="483">
        <v>0</v>
      </c>
      <c r="G315" s="483">
        <v>0</v>
      </c>
      <c r="H315" s="483">
        <v>0</v>
      </c>
      <c r="I315" s="483">
        <v>0</v>
      </c>
      <c r="J315" s="483">
        <v>1004</v>
      </c>
      <c r="K315" s="483">
        <v>0</v>
      </c>
      <c r="L315" s="89"/>
      <c r="M315" s="89"/>
      <c r="N315" s="89"/>
      <c r="O315" s="89"/>
      <c r="P315" s="89"/>
      <c r="Q315" s="89"/>
      <c r="R315" s="89"/>
      <c r="S315" s="89"/>
      <c r="T315" s="89"/>
      <c r="U315" s="89"/>
      <c r="V315" s="89"/>
      <c r="W315" s="89"/>
      <c r="X315" s="337">
        <f t="shared" si="6"/>
        <v>0</v>
      </c>
      <c r="Y315" s="192">
        <f t="shared" si="7"/>
        <v>0</v>
      </c>
      <c r="Z315" s="337">
        <f t="shared" si="8"/>
        <v>1004</v>
      </c>
    </row>
    <row r="316" spans="2:26" ht="14.25" outlineLevel="1">
      <c r="B316" s="437"/>
      <c r="C316" s="507" t="s">
        <v>745</v>
      </c>
      <c r="D316" s="506">
        <v>301.72000000000003</v>
      </c>
      <c r="E316" s="495">
        <v>0</v>
      </c>
      <c r="F316" s="483">
        <v>0</v>
      </c>
      <c r="G316" s="483">
        <v>0</v>
      </c>
      <c r="H316" s="483">
        <v>0</v>
      </c>
      <c r="I316" s="483">
        <v>0</v>
      </c>
      <c r="J316" s="483">
        <v>0</v>
      </c>
      <c r="K316" s="483">
        <v>0</v>
      </c>
      <c r="L316" s="89"/>
      <c r="M316" s="89"/>
      <c r="N316" s="89"/>
      <c r="O316" s="89"/>
      <c r="P316" s="89"/>
      <c r="Q316" s="89"/>
      <c r="R316" s="89"/>
      <c r="S316" s="89"/>
      <c r="T316" s="89"/>
      <c r="U316" s="89"/>
      <c r="V316" s="89"/>
      <c r="W316" s="89"/>
      <c r="X316" s="337"/>
      <c r="Y316" s="192"/>
      <c r="Z316" s="337"/>
    </row>
    <row r="317" spans="2:26" ht="14.25" outlineLevel="1">
      <c r="B317" s="437">
        <f>1+B315</f>
        <v>36</v>
      </c>
      <c r="C317" s="255" t="s">
        <v>502</v>
      </c>
      <c r="D317" s="506">
        <v>344.83</v>
      </c>
      <c r="E317" s="495">
        <v>0</v>
      </c>
      <c r="F317" s="483">
        <v>0</v>
      </c>
      <c r="G317" s="483">
        <v>0</v>
      </c>
      <c r="H317" s="483">
        <v>0</v>
      </c>
      <c r="I317" s="483">
        <v>0</v>
      </c>
      <c r="J317" s="483">
        <v>1721</v>
      </c>
      <c r="K317" s="483">
        <v>0</v>
      </c>
      <c r="L317" s="89"/>
      <c r="M317" s="89"/>
      <c r="N317" s="89"/>
      <c r="O317" s="89"/>
      <c r="P317" s="89"/>
      <c r="Q317" s="89"/>
      <c r="R317" s="89"/>
      <c r="S317" s="89"/>
      <c r="T317" s="89"/>
      <c r="U317" s="89"/>
      <c r="V317" s="89"/>
      <c r="W317" s="89"/>
      <c r="X317" s="337">
        <f t="shared" si="6"/>
        <v>0</v>
      </c>
      <c r="Y317" s="192">
        <f t="shared" si="7"/>
        <v>0</v>
      </c>
      <c r="Z317" s="337">
        <f t="shared" si="8"/>
        <v>1721</v>
      </c>
    </row>
    <row r="318" spans="2:26" ht="14.25" outlineLevel="1">
      <c r="B318" s="437">
        <f t="shared" si="9"/>
        <v>37</v>
      </c>
      <c r="C318" s="255" t="s">
        <v>504</v>
      </c>
      <c r="D318" s="506">
        <v>387.94</v>
      </c>
      <c r="E318" s="495">
        <v>0</v>
      </c>
      <c r="F318" s="483">
        <v>0</v>
      </c>
      <c r="G318" s="483">
        <v>0</v>
      </c>
      <c r="H318" s="483">
        <v>0</v>
      </c>
      <c r="I318" s="483">
        <v>0</v>
      </c>
      <c r="J318" s="483">
        <v>2073</v>
      </c>
      <c r="K318" s="483">
        <v>0</v>
      </c>
      <c r="L318" s="89"/>
      <c r="M318" s="89"/>
      <c r="N318" s="89"/>
      <c r="O318" s="89"/>
      <c r="P318" s="89"/>
      <c r="Q318" s="89"/>
      <c r="R318" s="89"/>
      <c r="S318" s="89"/>
      <c r="T318" s="89"/>
      <c r="U318" s="89"/>
      <c r="V318" s="89"/>
      <c r="W318" s="89"/>
      <c r="X318" s="337">
        <f t="shared" si="6"/>
        <v>0</v>
      </c>
      <c r="Y318" s="192">
        <f t="shared" si="7"/>
        <v>0</v>
      </c>
      <c r="Z318" s="337">
        <f t="shared" si="8"/>
        <v>2073</v>
      </c>
    </row>
    <row r="319" spans="2:26" ht="14.25" outlineLevel="1">
      <c r="B319" s="437">
        <f t="shared" si="9"/>
        <v>38</v>
      </c>
      <c r="C319" s="255" t="s">
        <v>506</v>
      </c>
      <c r="D319" s="506">
        <v>431.03</v>
      </c>
      <c r="E319" s="495">
        <v>0</v>
      </c>
      <c r="F319" s="483">
        <v>0</v>
      </c>
      <c r="G319" s="483">
        <v>0</v>
      </c>
      <c r="H319" s="483">
        <v>0</v>
      </c>
      <c r="I319" s="483">
        <v>0</v>
      </c>
      <c r="J319" s="483">
        <v>2346</v>
      </c>
      <c r="K319" s="483">
        <v>0</v>
      </c>
      <c r="L319" s="89"/>
      <c r="M319" s="89"/>
      <c r="N319" s="89"/>
      <c r="O319" s="89"/>
      <c r="P319" s="89"/>
      <c r="Q319" s="89"/>
      <c r="R319" s="89"/>
      <c r="S319" s="89"/>
      <c r="T319" s="89"/>
      <c r="U319" s="89"/>
      <c r="V319" s="89"/>
      <c r="W319" s="89"/>
      <c r="X319" s="337">
        <f t="shared" si="6"/>
        <v>0</v>
      </c>
      <c r="Y319" s="192">
        <f t="shared" si="7"/>
        <v>0</v>
      </c>
      <c r="Z319" s="337">
        <f t="shared" si="8"/>
        <v>2346</v>
      </c>
    </row>
    <row r="320" spans="2:26" ht="14.25" outlineLevel="1">
      <c r="B320" s="437">
        <f t="shared" si="9"/>
        <v>39</v>
      </c>
      <c r="C320" s="255" t="s">
        <v>199</v>
      </c>
      <c r="D320" s="494">
        <v>547.98</v>
      </c>
      <c r="E320" s="495">
        <v>201</v>
      </c>
      <c r="F320" s="483">
        <v>24</v>
      </c>
      <c r="G320" s="483">
        <v>7</v>
      </c>
      <c r="H320" s="483">
        <v>2</v>
      </c>
      <c r="I320" s="483">
        <v>16</v>
      </c>
      <c r="J320" s="483">
        <v>0</v>
      </c>
      <c r="K320" s="483">
        <v>392</v>
      </c>
      <c r="L320" s="89"/>
      <c r="M320" s="89"/>
      <c r="N320" s="89"/>
      <c r="O320" s="89"/>
      <c r="P320" s="89"/>
      <c r="Q320" s="89"/>
      <c r="R320" s="89"/>
      <c r="S320" s="89"/>
      <c r="T320" s="89"/>
      <c r="U320" s="89"/>
      <c r="V320" s="89"/>
      <c r="W320" s="89"/>
      <c r="X320" s="337">
        <f t="shared" si="6"/>
        <v>201</v>
      </c>
      <c r="Y320" s="192">
        <f t="shared" si="7"/>
        <v>49</v>
      </c>
      <c r="Z320" s="337">
        <f t="shared" si="8"/>
        <v>392</v>
      </c>
    </row>
    <row r="321" spans="2:26" ht="14.25" outlineLevel="1">
      <c r="B321" s="437">
        <f t="shared" si="9"/>
        <v>40</v>
      </c>
      <c r="C321" s="255" t="s">
        <v>203</v>
      </c>
      <c r="D321" s="494">
        <v>843.5</v>
      </c>
      <c r="E321" s="495">
        <v>198</v>
      </c>
      <c r="F321" s="483">
        <v>16</v>
      </c>
      <c r="G321" s="483">
        <v>7</v>
      </c>
      <c r="H321" s="483">
        <v>3</v>
      </c>
      <c r="I321" s="483">
        <v>12</v>
      </c>
      <c r="J321" s="483">
        <v>583</v>
      </c>
      <c r="K321" s="483">
        <v>0</v>
      </c>
      <c r="L321" s="89"/>
      <c r="M321" s="89"/>
      <c r="N321" s="89"/>
      <c r="O321" s="89"/>
      <c r="P321" s="89"/>
      <c r="Q321" s="89"/>
      <c r="R321" s="89"/>
      <c r="S321" s="89"/>
      <c r="T321" s="89"/>
      <c r="U321" s="89"/>
      <c r="V321" s="89"/>
      <c r="W321" s="89"/>
      <c r="X321" s="337">
        <f t="shared" si="6"/>
        <v>198</v>
      </c>
      <c r="Y321" s="192">
        <f t="shared" si="7"/>
        <v>38</v>
      </c>
      <c r="Z321" s="337">
        <f t="shared" si="8"/>
        <v>583</v>
      </c>
    </row>
    <row r="322" spans="2:26" ht="14.25" outlineLevel="1">
      <c r="B322" s="437">
        <f t="shared" si="9"/>
        <v>41</v>
      </c>
      <c r="C322" s="255" t="s">
        <v>461</v>
      </c>
      <c r="D322" s="494"/>
      <c r="E322" s="494"/>
      <c r="F322" s="89"/>
      <c r="G322" s="89"/>
      <c r="H322" s="89"/>
      <c r="I322" s="89"/>
      <c r="J322" s="89"/>
      <c r="K322" s="89"/>
      <c r="L322" s="89"/>
      <c r="M322" s="89"/>
      <c r="N322" s="89"/>
      <c r="O322" s="89"/>
      <c r="P322" s="89"/>
      <c r="Q322" s="89"/>
      <c r="R322" s="89"/>
      <c r="S322" s="89"/>
      <c r="T322" s="89"/>
      <c r="U322" s="89"/>
      <c r="V322" s="89"/>
      <c r="W322" s="89"/>
      <c r="X322" s="337">
        <f t="shared" si="6"/>
        <v>0</v>
      </c>
      <c r="Y322" s="192">
        <f t="shared" si="7"/>
        <v>0</v>
      </c>
      <c r="Z322" s="337">
        <f t="shared" si="8"/>
        <v>0</v>
      </c>
    </row>
    <row r="323" spans="2:26" ht="14.25" outlineLevel="1">
      <c r="B323" s="437">
        <f t="shared" si="9"/>
        <v>42</v>
      </c>
      <c r="C323" s="255" t="s">
        <v>461</v>
      </c>
      <c r="D323" s="494"/>
      <c r="E323" s="494"/>
      <c r="F323" s="89"/>
      <c r="G323" s="89"/>
      <c r="H323" s="89"/>
      <c r="I323" s="89"/>
      <c r="J323" s="89"/>
      <c r="K323" s="89"/>
      <c r="L323" s="89"/>
      <c r="M323" s="89"/>
      <c r="N323" s="89"/>
      <c r="O323" s="89"/>
      <c r="P323" s="89"/>
      <c r="Q323" s="89"/>
      <c r="R323" s="89"/>
      <c r="S323" s="89"/>
      <c r="T323" s="89"/>
      <c r="U323" s="89"/>
      <c r="V323" s="89"/>
      <c r="W323" s="89"/>
    </row>
    <row r="324" spans="2:26" ht="14.25" outlineLevel="1">
      <c r="B324" s="437">
        <f t="shared" si="9"/>
        <v>43</v>
      </c>
      <c r="C324" s="255" t="s">
        <v>461</v>
      </c>
      <c r="D324" s="494"/>
      <c r="E324" s="494"/>
      <c r="F324" s="89"/>
      <c r="G324" s="89"/>
      <c r="H324" s="89"/>
      <c r="I324" s="89"/>
      <c r="J324" s="89"/>
      <c r="K324" s="89"/>
      <c r="L324" s="89"/>
      <c r="M324" s="89"/>
      <c r="N324" s="89"/>
      <c r="O324" s="89"/>
      <c r="P324" s="89"/>
      <c r="Q324" s="89"/>
      <c r="R324" s="89"/>
      <c r="S324" s="89"/>
      <c r="T324" s="89"/>
      <c r="U324" s="89"/>
      <c r="V324" s="89"/>
      <c r="W324" s="89"/>
    </row>
    <row r="325" spans="2:26" ht="14.25" outlineLevel="1">
      <c r="B325" s="437">
        <f t="shared" si="9"/>
        <v>44</v>
      </c>
      <c r="C325" s="255" t="s">
        <v>461</v>
      </c>
      <c r="D325" s="494"/>
      <c r="E325" s="494"/>
      <c r="F325" s="89"/>
      <c r="G325" s="89"/>
      <c r="H325" s="89"/>
      <c r="I325" s="89"/>
      <c r="J325" s="89"/>
      <c r="K325" s="89"/>
      <c r="L325" s="89"/>
      <c r="M325" s="89"/>
      <c r="N325" s="89"/>
      <c r="O325" s="89"/>
      <c r="P325" s="89"/>
      <c r="Q325" s="89"/>
      <c r="R325" s="89"/>
      <c r="S325" s="89"/>
      <c r="T325" s="89"/>
      <c r="U325" s="89"/>
      <c r="V325" s="89"/>
      <c r="W325" s="89"/>
    </row>
    <row r="326" spans="2:26" ht="14.25" outlineLevel="1">
      <c r="B326" s="437">
        <f t="shared" si="9"/>
        <v>45</v>
      </c>
      <c r="C326" s="255" t="s">
        <v>461</v>
      </c>
      <c r="D326" s="494"/>
      <c r="E326" s="494"/>
      <c r="F326" s="89"/>
      <c r="G326" s="89"/>
      <c r="H326" s="89"/>
      <c r="I326" s="89"/>
      <c r="J326" s="89"/>
      <c r="K326" s="89"/>
      <c r="L326" s="89"/>
      <c r="M326" s="89"/>
      <c r="N326" s="89"/>
      <c r="O326" s="89"/>
      <c r="P326" s="89"/>
      <c r="Q326" s="89"/>
      <c r="R326" s="89"/>
      <c r="S326" s="89"/>
      <c r="T326" s="89"/>
      <c r="U326" s="89"/>
      <c r="V326" s="89"/>
      <c r="W326" s="89"/>
    </row>
    <row r="327" spans="2:26" ht="14.25" outlineLevel="1">
      <c r="B327" s="437">
        <f t="shared" si="9"/>
        <v>46</v>
      </c>
      <c r="C327" s="255" t="s">
        <v>461</v>
      </c>
      <c r="D327" s="494"/>
      <c r="E327" s="494"/>
      <c r="F327" s="89"/>
      <c r="G327" s="89"/>
      <c r="H327" s="89"/>
      <c r="I327" s="89"/>
      <c r="J327" s="89"/>
      <c r="K327" s="89"/>
      <c r="L327" s="89"/>
      <c r="M327" s="89"/>
      <c r="N327" s="89"/>
      <c r="O327" s="89"/>
      <c r="P327" s="89"/>
      <c r="Q327" s="89"/>
      <c r="R327" s="89"/>
      <c r="S327" s="89"/>
      <c r="T327" s="89"/>
      <c r="U327" s="89"/>
      <c r="V327" s="89"/>
      <c r="W327" s="89"/>
    </row>
    <row r="328" spans="2:26" ht="14.25" outlineLevel="1">
      <c r="B328" s="437">
        <f t="shared" si="9"/>
        <v>47</v>
      </c>
      <c r="C328" s="255" t="s">
        <v>461</v>
      </c>
      <c r="D328" s="494"/>
      <c r="E328" s="494"/>
      <c r="F328" s="89"/>
      <c r="G328" s="89"/>
      <c r="H328" s="89"/>
      <c r="I328" s="89"/>
      <c r="J328" s="89"/>
      <c r="K328" s="89"/>
      <c r="L328" s="89"/>
      <c r="M328" s="89"/>
      <c r="N328" s="89"/>
      <c r="O328" s="89"/>
      <c r="P328" s="89"/>
      <c r="Q328" s="89"/>
      <c r="R328" s="89"/>
      <c r="S328" s="89"/>
      <c r="T328" s="89"/>
      <c r="U328" s="89"/>
      <c r="V328" s="89"/>
      <c r="W328" s="89"/>
    </row>
    <row r="329" spans="2:26" ht="14.25" outlineLevel="1">
      <c r="B329" s="437">
        <f t="shared" si="9"/>
        <v>48</v>
      </c>
      <c r="C329" s="255" t="s">
        <v>461</v>
      </c>
      <c r="D329" s="494"/>
      <c r="E329" s="494"/>
      <c r="F329" s="89"/>
      <c r="G329" s="89"/>
      <c r="H329" s="89"/>
      <c r="I329" s="89"/>
      <c r="J329" s="89"/>
      <c r="K329" s="89"/>
      <c r="L329" s="89"/>
      <c r="M329" s="89"/>
      <c r="N329" s="89"/>
      <c r="O329" s="89"/>
      <c r="P329" s="89"/>
      <c r="Q329" s="89"/>
      <c r="R329" s="89"/>
      <c r="S329" s="89"/>
      <c r="T329" s="89"/>
      <c r="U329" s="89"/>
      <c r="V329" s="89"/>
      <c r="W329" s="89"/>
    </row>
    <row r="330" spans="2:26" ht="14.25" outlineLevel="1">
      <c r="B330" s="437">
        <f t="shared" si="9"/>
        <v>49</v>
      </c>
      <c r="C330" s="255" t="s">
        <v>461</v>
      </c>
      <c r="D330" s="494"/>
      <c r="E330" s="494"/>
      <c r="F330" s="89"/>
      <c r="G330" s="89"/>
      <c r="H330" s="89"/>
      <c r="I330" s="89"/>
      <c r="J330" s="89"/>
      <c r="K330" s="89"/>
      <c r="L330" s="89"/>
      <c r="M330" s="89"/>
      <c r="N330" s="89"/>
      <c r="O330" s="89"/>
      <c r="P330" s="89"/>
      <c r="Q330" s="89"/>
      <c r="R330" s="89"/>
      <c r="S330" s="89"/>
      <c r="T330" s="89"/>
      <c r="U330" s="89"/>
      <c r="V330" s="89"/>
      <c r="W330" s="89"/>
    </row>
    <row r="331" spans="2:26" ht="14.25" outlineLevel="1">
      <c r="B331" s="437">
        <f t="shared" si="9"/>
        <v>50</v>
      </c>
      <c r="C331" s="255" t="s">
        <v>461</v>
      </c>
      <c r="D331" s="494"/>
      <c r="E331" s="494"/>
      <c r="F331" s="89"/>
      <c r="G331" s="89"/>
      <c r="H331" s="89"/>
      <c r="I331" s="89"/>
      <c r="J331" s="89"/>
      <c r="K331" s="89"/>
      <c r="L331" s="89"/>
      <c r="M331" s="89"/>
      <c r="N331" s="89"/>
      <c r="O331" s="89"/>
      <c r="P331" s="89"/>
      <c r="Q331" s="89"/>
      <c r="R331" s="89"/>
      <c r="S331" s="89"/>
      <c r="T331" s="89"/>
      <c r="U331" s="89"/>
      <c r="V331" s="89"/>
      <c r="W331" s="89"/>
    </row>
    <row r="332" spans="2:26" ht="14.25" outlineLevel="1">
      <c r="B332" s="437">
        <f t="shared" si="9"/>
        <v>51</v>
      </c>
      <c r="C332" s="255" t="s">
        <v>461</v>
      </c>
      <c r="D332" s="494"/>
      <c r="E332" s="494"/>
      <c r="F332" s="89"/>
      <c r="G332" s="89"/>
      <c r="H332" s="89"/>
      <c r="I332" s="89"/>
      <c r="J332" s="89"/>
      <c r="K332" s="89"/>
      <c r="L332" s="89"/>
      <c r="M332" s="89"/>
      <c r="N332" s="89"/>
      <c r="O332" s="89"/>
      <c r="P332" s="89"/>
      <c r="Q332" s="89"/>
      <c r="R332" s="89"/>
      <c r="S332" s="89"/>
      <c r="T332" s="89"/>
      <c r="U332" s="89"/>
      <c r="V332" s="89"/>
      <c r="W332" s="89"/>
    </row>
    <row r="333" spans="2:26" ht="14.25" outlineLevel="1">
      <c r="B333" s="437">
        <f t="shared" si="9"/>
        <v>52</v>
      </c>
      <c r="C333" s="255" t="s">
        <v>461</v>
      </c>
      <c r="D333" s="494"/>
      <c r="E333" s="494"/>
      <c r="F333" s="89"/>
      <c r="G333" s="89"/>
      <c r="H333" s="89"/>
      <c r="I333" s="89"/>
      <c r="J333" s="89"/>
      <c r="K333" s="89"/>
      <c r="L333" s="89"/>
      <c r="M333" s="89"/>
      <c r="N333" s="89"/>
      <c r="O333" s="89"/>
      <c r="P333" s="89"/>
      <c r="Q333" s="89"/>
      <c r="R333" s="89"/>
      <c r="S333" s="89"/>
      <c r="T333" s="89"/>
      <c r="U333" s="89"/>
      <c r="V333" s="89"/>
      <c r="W333" s="89"/>
    </row>
    <row r="334" spans="2:26" ht="14.25" outlineLevel="1">
      <c r="B334" s="437">
        <f t="shared" si="9"/>
        <v>53</v>
      </c>
      <c r="C334" s="255" t="s">
        <v>461</v>
      </c>
      <c r="D334" s="494"/>
      <c r="E334" s="494"/>
      <c r="F334" s="89"/>
      <c r="G334" s="89"/>
      <c r="H334" s="89"/>
      <c r="I334" s="89"/>
      <c r="J334" s="89"/>
      <c r="K334" s="89"/>
      <c r="L334" s="89"/>
      <c r="M334" s="89"/>
      <c r="N334" s="89"/>
      <c r="O334" s="89"/>
      <c r="P334" s="89"/>
      <c r="Q334" s="89"/>
      <c r="R334" s="89"/>
      <c r="S334" s="89"/>
      <c r="T334" s="89"/>
      <c r="U334" s="89"/>
      <c r="V334" s="89"/>
      <c r="W334" s="89"/>
    </row>
    <row r="335" spans="2:26" ht="14.25" outlineLevel="1">
      <c r="B335" s="437">
        <f t="shared" si="9"/>
        <v>54</v>
      </c>
      <c r="C335" s="255" t="s">
        <v>461</v>
      </c>
      <c r="D335" s="494"/>
      <c r="E335" s="494"/>
      <c r="F335" s="89"/>
      <c r="G335" s="89"/>
      <c r="H335" s="89"/>
      <c r="I335" s="89"/>
      <c r="J335" s="89"/>
      <c r="K335" s="89"/>
      <c r="L335" s="89"/>
      <c r="M335" s="89"/>
      <c r="N335" s="89"/>
      <c r="O335" s="89"/>
      <c r="P335" s="89"/>
      <c r="Q335" s="89"/>
      <c r="R335" s="89"/>
      <c r="S335" s="89"/>
      <c r="T335" s="89"/>
      <c r="U335" s="89"/>
      <c r="V335" s="89"/>
      <c r="W335" s="89"/>
    </row>
    <row r="336" spans="2:26" ht="14.25" outlineLevel="1">
      <c r="B336" s="437">
        <f t="shared" si="9"/>
        <v>55</v>
      </c>
      <c r="C336" s="255" t="s">
        <v>461</v>
      </c>
      <c r="D336" s="494"/>
      <c r="E336" s="494"/>
      <c r="F336" s="89"/>
      <c r="G336" s="89"/>
      <c r="H336" s="89"/>
      <c r="I336" s="89"/>
      <c r="J336" s="89"/>
      <c r="K336" s="89"/>
      <c r="L336" s="89"/>
      <c r="M336" s="89"/>
      <c r="N336" s="89"/>
      <c r="O336" s="89"/>
      <c r="P336" s="89"/>
      <c r="Q336" s="89"/>
      <c r="R336" s="89"/>
      <c r="S336" s="89"/>
      <c r="T336" s="89"/>
      <c r="U336" s="89"/>
      <c r="V336" s="89"/>
      <c r="W336" s="89"/>
    </row>
    <row r="337" spans="2:23" ht="14.25" outlineLevel="1">
      <c r="B337" s="437">
        <f t="shared" si="9"/>
        <v>56</v>
      </c>
      <c r="C337" s="255" t="s">
        <v>461</v>
      </c>
      <c r="D337" s="494"/>
      <c r="E337" s="494"/>
      <c r="F337" s="89"/>
      <c r="G337" s="89"/>
      <c r="H337" s="89"/>
      <c r="I337" s="89"/>
      <c r="J337" s="89"/>
      <c r="K337" s="89"/>
      <c r="L337" s="89"/>
      <c r="M337" s="89"/>
      <c r="N337" s="89"/>
      <c r="O337" s="89"/>
      <c r="P337" s="89"/>
      <c r="Q337" s="89"/>
      <c r="R337" s="89"/>
      <c r="S337" s="89"/>
      <c r="T337" s="89"/>
      <c r="U337" s="89"/>
      <c r="V337" s="89"/>
      <c r="W337" s="89"/>
    </row>
    <row r="338" spans="2:23" ht="14.25" outlineLevel="1">
      <c r="B338" s="437">
        <f t="shared" si="9"/>
        <v>57</v>
      </c>
      <c r="C338" s="255" t="s">
        <v>461</v>
      </c>
      <c r="D338" s="494"/>
      <c r="E338" s="494"/>
      <c r="F338" s="89"/>
      <c r="G338" s="89"/>
      <c r="H338" s="89"/>
      <c r="I338" s="89"/>
      <c r="J338" s="89"/>
      <c r="K338" s="89"/>
      <c r="L338" s="89"/>
      <c r="M338" s="89"/>
      <c r="N338" s="89"/>
      <c r="O338" s="89"/>
      <c r="P338" s="89"/>
      <c r="Q338" s="89"/>
      <c r="R338" s="89"/>
      <c r="S338" s="89"/>
      <c r="T338" s="89"/>
      <c r="U338" s="89"/>
      <c r="V338" s="89"/>
      <c r="W338" s="89"/>
    </row>
    <row r="339" spans="2:23" ht="14.25" outlineLevel="1">
      <c r="B339" s="437">
        <f t="shared" si="9"/>
        <v>58</v>
      </c>
      <c r="C339" s="255" t="s">
        <v>461</v>
      </c>
      <c r="D339" s="494"/>
      <c r="E339" s="494"/>
      <c r="F339" s="89"/>
      <c r="G339" s="89"/>
      <c r="H339" s="89"/>
      <c r="I339" s="89"/>
      <c r="J339" s="89"/>
      <c r="K339" s="89"/>
      <c r="L339" s="89"/>
      <c r="M339" s="89"/>
      <c r="N339" s="89"/>
      <c r="O339" s="89"/>
      <c r="P339" s="89"/>
      <c r="Q339" s="89"/>
      <c r="R339" s="89"/>
      <c r="S339" s="89"/>
      <c r="T339" s="89"/>
      <c r="U339" s="89"/>
      <c r="V339" s="89"/>
      <c r="W339" s="89"/>
    </row>
    <row r="340" spans="2:23" ht="14.25" outlineLevel="1">
      <c r="B340" s="437">
        <f t="shared" si="9"/>
        <v>59</v>
      </c>
      <c r="C340" s="255" t="s">
        <v>461</v>
      </c>
      <c r="D340" s="494"/>
      <c r="E340" s="494"/>
      <c r="F340" s="89"/>
      <c r="G340" s="89"/>
      <c r="H340" s="89"/>
      <c r="I340" s="89"/>
      <c r="J340" s="89"/>
      <c r="K340" s="89"/>
      <c r="L340" s="89"/>
      <c r="M340" s="89"/>
      <c r="N340" s="89"/>
      <c r="O340" s="89"/>
      <c r="P340" s="89"/>
      <c r="Q340" s="89"/>
      <c r="R340" s="89"/>
      <c r="S340" s="89"/>
      <c r="T340" s="89"/>
      <c r="U340" s="89"/>
      <c r="V340" s="89"/>
      <c r="W340" s="89"/>
    </row>
    <row r="341" spans="2:23" ht="14.25" outlineLevel="1">
      <c r="B341" s="437">
        <f t="shared" si="9"/>
        <v>60</v>
      </c>
      <c r="C341" s="255" t="s">
        <v>461</v>
      </c>
      <c r="D341" s="494"/>
      <c r="E341" s="494"/>
      <c r="F341" s="89"/>
      <c r="G341" s="89"/>
      <c r="H341" s="89"/>
      <c r="I341" s="89"/>
      <c r="J341" s="89"/>
      <c r="K341" s="89"/>
      <c r="L341" s="89"/>
      <c r="M341" s="89"/>
      <c r="N341" s="89"/>
      <c r="O341" s="89"/>
      <c r="P341" s="89"/>
      <c r="Q341" s="89"/>
      <c r="R341" s="89"/>
      <c r="S341" s="89"/>
      <c r="T341" s="89"/>
      <c r="U341" s="89"/>
      <c r="V341" s="89"/>
      <c r="W341" s="89"/>
    </row>
    <row r="342" spans="2:23" ht="14.25" outlineLevel="1">
      <c r="B342" s="437">
        <f t="shared" si="9"/>
        <v>61</v>
      </c>
      <c r="C342" s="255" t="s">
        <v>461</v>
      </c>
      <c r="D342" s="494"/>
      <c r="E342" s="494"/>
      <c r="F342" s="89"/>
      <c r="G342" s="89"/>
      <c r="H342" s="89"/>
      <c r="I342" s="89"/>
      <c r="J342" s="89"/>
      <c r="K342" s="89"/>
      <c r="L342" s="89"/>
      <c r="M342" s="89"/>
      <c r="N342" s="89"/>
      <c r="O342" s="89"/>
      <c r="P342" s="89"/>
      <c r="Q342" s="89"/>
      <c r="R342" s="89"/>
      <c r="S342" s="89"/>
      <c r="T342" s="89"/>
      <c r="U342" s="89"/>
      <c r="V342" s="89"/>
      <c r="W342" s="89"/>
    </row>
    <row r="343" spans="2:23" ht="14.25" outlineLevel="1">
      <c r="B343" s="437">
        <f t="shared" si="9"/>
        <v>62</v>
      </c>
      <c r="C343" s="255" t="s">
        <v>461</v>
      </c>
      <c r="D343" s="494"/>
      <c r="E343" s="494"/>
      <c r="F343" s="89"/>
      <c r="G343" s="89"/>
      <c r="H343" s="89"/>
      <c r="I343" s="89"/>
      <c r="J343" s="89"/>
      <c r="K343" s="89"/>
      <c r="L343" s="89"/>
      <c r="M343" s="89"/>
      <c r="N343" s="89"/>
      <c r="O343" s="89"/>
      <c r="P343" s="89"/>
      <c r="Q343" s="89"/>
      <c r="R343" s="89"/>
      <c r="S343" s="89"/>
      <c r="T343" s="89"/>
      <c r="U343" s="89"/>
      <c r="V343" s="89"/>
      <c r="W343" s="89"/>
    </row>
    <row r="344" spans="2:23" ht="14.25" outlineLevel="1">
      <c r="B344" s="437">
        <f t="shared" si="9"/>
        <v>63</v>
      </c>
      <c r="C344" s="255" t="s">
        <v>461</v>
      </c>
      <c r="D344" s="494"/>
      <c r="E344" s="494"/>
      <c r="F344" s="89"/>
      <c r="G344" s="89"/>
      <c r="H344" s="89"/>
      <c r="I344" s="89"/>
      <c r="J344" s="89"/>
      <c r="K344" s="89"/>
      <c r="L344" s="89"/>
      <c r="M344" s="89"/>
      <c r="N344" s="89"/>
      <c r="O344" s="89"/>
      <c r="P344" s="89"/>
      <c r="Q344" s="89"/>
      <c r="R344" s="89"/>
      <c r="S344" s="89"/>
      <c r="T344" s="89"/>
      <c r="U344" s="89"/>
      <c r="V344" s="89"/>
      <c r="W344" s="89"/>
    </row>
    <row r="345" spans="2:23" ht="14.25" outlineLevel="1">
      <c r="B345" s="437">
        <f t="shared" si="9"/>
        <v>64</v>
      </c>
      <c r="C345" s="255" t="s">
        <v>461</v>
      </c>
      <c r="D345" s="494"/>
      <c r="E345" s="494"/>
      <c r="F345" s="89"/>
      <c r="G345" s="89"/>
      <c r="H345" s="89"/>
      <c r="I345" s="89"/>
      <c r="J345" s="89"/>
      <c r="K345" s="89"/>
      <c r="L345" s="89"/>
      <c r="M345" s="89"/>
      <c r="N345" s="89"/>
      <c r="O345" s="89"/>
      <c r="P345" s="89"/>
      <c r="Q345" s="89"/>
      <c r="R345" s="89"/>
      <c r="S345" s="89"/>
      <c r="T345" s="89"/>
      <c r="U345" s="89"/>
      <c r="V345" s="89"/>
      <c r="W345" s="89"/>
    </row>
    <row r="346" spans="2:23" ht="14.25" outlineLevel="1">
      <c r="B346" s="437">
        <f t="shared" ref="B346:B348" si="10">1+B345</f>
        <v>65</v>
      </c>
      <c r="C346" s="255" t="s">
        <v>461</v>
      </c>
      <c r="D346" s="494"/>
      <c r="E346" s="494"/>
      <c r="F346" s="89"/>
      <c r="G346" s="89"/>
      <c r="H346" s="89"/>
      <c r="I346" s="89"/>
      <c r="J346" s="89"/>
      <c r="K346" s="89"/>
      <c r="L346" s="89"/>
      <c r="M346" s="89"/>
      <c r="N346" s="89"/>
      <c r="O346" s="89"/>
      <c r="P346" s="89"/>
      <c r="Q346" s="89"/>
      <c r="R346" s="89"/>
      <c r="S346" s="89"/>
      <c r="T346" s="89"/>
      <c r="U346" s="89"/>
      <c r="V346" s="89"/>
      <c r="W346" s="89"/>
    </row>
    <row r="347" spans="2:23" ht="14.25" outlineLevel="1">
      <c r="B347" s="437">
        <f t="shared" si="10"/>
        <v>66</v>
      </c>
      <c r="C347" s="255" t="s">
        <v>461</v>
      </c>
      <c r="D347" s="494"/>
      <c r="E347" s="494"/>
      <c r="F347" s="89"/>
      <c r="G347" s="89"/>
      <c r="H347" s="89"/>
      <c r="I347" s="89"/>
      <c r="J347" s="89"/>
      <c r="K347" s="89"/>
      <c r="L347" s="89"/>
      <c r="M347" s="89"/>
      <c r="N347" s="89"/>
      <c r="O347" s="89"/>
      <c r="P347" s="89"/>
      <c r="Q347" s="89"/>
      <c r="R347" s="89"/>
      <c r="S347" s="89"/>
      <c r="T347" s="89"/>
      <c r="U347" s="89"/>
      <c r="V347" s="89"/>
      <c r="W347" s="89"/>
    </row>
    <row r="348" spans="2:23" ht="14.25" outlineLevel="1">
      <c r="B348" s="437">
        <f t="shared" si="10"/>
        <v>67</v>
      </c>
      <c r="C348" s="255" t="s">
        <v>461</v>
      </c>
      <c r="D348" s="494"/>
      <c r="E348" s="494"/>
      <c r="F348" s="89"/>
      <c r="G348" s="89"/>
      <c r="H348" s="89"/>
      <c r="I348" s="89"/>
      <c r="J348" s="89"/>
      <c r="K348" s="89"/>
      <c r="L348" s="89"/>
      <c r="M348" s="89"/>
      <c r="N348" s="89"/>
      <c r="O348" s="89"/>
      <c r="P348" s="89"/>
      <c r="Q348" s="89"/>
      <c r="R348" s="89"/>
      <c r="S348" s="89"/>
      <c r="T348" s="89"/>
      <c r="U348" s="89"/>
      <c r="V348" s="89"/>
      <c r="W348" s="89"/>
    </row>
    <row r="349" spans="2:23" ht="14.25" outlineLevel="1">
      <c r="B349" s="437">
        <f>1+B348</f>
        <v>68</v>
      </c>
      <c r="C349" s="255" t="s">
        <v>461</v>
      </c>
      <c r="D349" s="494"/>
      <c r="E349" s="494"/>
      <c r="F349" s="89"/>
      <c r="G349" s="89"/>
      <c r="H349" s="89"/>
      <c r="I349" s="89"/>
      <c r="J349" s="89"/>
      <c r="K349" s="89"/>
      <c r="L349" s="89"/>
      <c r="M349" s="89"/>
      <c r="N349" s="89"/>
      <c r="O349" s="89"/>
      <c r="P349" s="89"/>
      <c r="Q349" s="89"/>
      <c r="R349" s="89"/>
      <c r="S349" s="89"/>
      <c r="T349" s="89"/>
      <c r="U349" s="89"/>
      <c r="V349" s="89"/>
      <c r="W349" s="89"/>
    </row>
    <row r="350" spans="2:23" ht="14.25" outlineLevel="1">
      <c r="B350" s="437">
        <f>1+B349</f>
        <v>69</v>
      </c>
      <c r="C350" s="255" t="s">
        <v>461</v>
      </c>
      <c r="D350" s="494"/>
      <c r="E350" s="494"/>
      <c r="F350" s="89"/>
      <c r="G350" s="89"/>
      <c r="H350" s="89"/>
      <c r="I350" s="89"/>
      <c r="J350" s="89"/>
      <c r="K350" s="89"/>
      <c r="L350" s="89"/>
      <c r="M350" s="89"/>
      <c r="N350" s="89"/>
      <c r="O350" s="89"/>
      <c r="P350" s="89"/>
      <c r="Q350" s="89"/>
      <c r="R350" s="89"/>
      <c r="S350" s="89"/>
      <c r="T350" s="89"/>
      <c r="U350" s="89"/>
      <c r="V350" s="89"/>
      <c r="W350" s="89"/>
    </row>
    <row r="351" spans="2:23" ht="14.25" outlineLevel="1">
      <c r="B351" s="437">
        <f>1+B350</f>
        <v>70</v>
      </c>
      <c r="C351" s="255" t="s">
        <v>461</v>
      </c>
      <c r="D351" s="494"/>
      <c r="E351" s="494"/>
      <c r="F351" s="89"/>
      <c r="G351" s="89"/>
      <c r="H351" s="89"/>
      <c r="I351" s="89"/>
      <c r="J351" s="89"/>
      <c r="K351" s="89"/>
      <c r="L351" s="89"/>
      <c r="M351" s="89"/>
      <c r="N351" s="89"/>
      <c r="O351" s="89"/>
      <c r="P351" s="89"/>
      <c r="Q351" s="89"/>
      <c r="R351" s="89"/>
      <c r="S351" s="89"/>
      <c r="T351" s="89"/>
      <c r="U351" s="89"/>
      <c r="V351" s="89"/>
      <c r="W351" s="89"/>
    </row>
    <row r="352" spans="2:23" ht="14.25">
      <c r="B352" s="437">
        <f>1+B351</f>
        <v>71</v>
      </c>
      <c r="C352" s="255" t="s">
        <v>461</v>
      </c>
      <c r="D352" s="494"/>
      <c r="E352" s="494"/>
      <c r="F352" s="89"/>
      <c r="G352" s="89"/>
      <c r="H352" s="89"/>
      <c r="I352" s="89"/>
      <c r="J352" s="89"/>
      <c r="K352" s="89"/>
      <c r="L352" s="89"/>
      <c r="M352" s="89"/>
      <c r="N352" s="89"/>
      <c r="O352" s="89"/>
      <c r="P352" s="89"/>
      <c r="Q352" s="89"/>
      <c r="R352" s="89"/>
      <c r="S352" s="89"/>
      <c r="T352" s="89"/>
      <c r="U352" s="89"/>
      <c r="V352" s="89"/>
      <c r="W352" s="89"/>
    </row>
    <row r="353" spans="2:26" ht="12"/>
    <row r="354" spans="2:26" ht="12">
      <c r="C354" s="251" t="s">
        <v>998</v>
      </c>
    </row>
    <row r="355" spans="2:26" ht="12">
      <c r="C355" s="251"/>
    </row>
    <row r="356" spans="2:26" ht="15.75">
      <c r="C356" s="489" t="s">
        <v>875</v>
      </c>
      <c r="D356" s="452"/>
      <c r="E356" s="452"/>
      <c r="F356" s="452"/>
      <c r="G356" s="453"/>
    </row>
    <row r="357" spans="2:26" ht="12">
      <c r="C357" s="251"/>
    </row>
    <row r="358" spans="2:26" ht="24">
      <c r="B358" s="251"/>
      <c r="C358" s="266" t="s">
        <v>1043</v>
      </c>
      <c r="E358" s="496" t="s">
        <v>1044</v>
      </c>
      <c r="F358" s="560" t="s">
        <v>1067</v>
      </c>
      <c r="G358" s="561"/>
      <c r="H358" s="561"/>
      <c r="I358" s="562"/>
      <c r="J358" s="563" t="s">
        <v>1046</v>
      </c>
      <c r="K358" s="563"/>
      <c r="L358" s="497" t="s">
        <v>1047</v>
      </c>
      <c r="M358" s="498" t="s">
        <v>1048</v>
      </c>
      <c r="N358" s="560" t="s">
        <v>1049</v>
      </c>
      <c r="O358" s="561"/>
      <c r="P358" s="561"/>
      <c r="Q358" s="561"/>
      <c r="R358" s="561"/>
      <c r="S358" s="561"/>
      <c r="T358" s="561"/>
      <c r="U358" s="562"/>
      <c r="V358" s="496" t="s">
        <v>1050</v>
      </c>
      <c r="W358" s="496"/>
      <c r="X358" s="566" t="s">
        <v>1074</v>
      </c>
      <c r="Y358" s="566"/>
      <c r="Z358" s="566"/>
    </row>
    <row r="359" spans="2:26" ht="48">
      <c r="B359" s="251"/>
      <c r="C359" s="430" t="s">
        <v>461</v>
      </c>
      <c r="D359" s="480" t="s">
        <v>1068</v>
      </c>
      <c r="E359" s="480" t="s">
        <v>1044</v>
      </c>
      <c r="F359" s="480" t="s">
        <v>1051</v>
      </c>
      <c r="G359" s="480" t="s">
        <v>1052</v>
      </c>
      <c r="H359" s="480" t="s">
        <v>1053</v>
      </c>
      <c r="I359" s="493" t="s">
        <v>1054</v>
      </c>
      <c r="J359" s="430" t="s">
        <v>1046</v>
      </c>
      <c r="K359" s="430" t="s">
        <v>1055</v>
      </c>
      <c r="L359" s="480" t="s">
        <v>739</v>
      </c>
      <c r="M359" s="480" t="s">
        <v>1056</v>
      </c>
      <c r="N359" s="480" t="s">
        <v>1057</v>
      </c>
      <c r="O359" s="480" t="s">
        <v>1058</v>
      </c>
      <c r="P359" s="480" t="s">
        <v>1059</v>
      </c>
      <c r="Q359" s="480" t="s">
        <v>1060</v>
      </c>
      <c r="R359" s="480" t="s">
        <v>1061</v>
      </c>
      <c r="S359" s="480" t="s">
        <v>1062</v>
      </c>
      <c r="T359" s="480" t="s">
        <v>1063</v>
      </c>
      <c r="U359" s="480" t="s">
        <v>1064</v>
      </c>
      <c r="V359" s="480" t="s">
        <v>1065</v>
      </c>
      <c r="W359" s="480" t="s">
        <v>1066</v>
      </c>
      <c r="X359" s="505" t="s">
        <v>1075</v>
      </c>
      <c r="Y359" s="505" t="s">
        <v>1076</v>
      </c>
      <c r="Z359" s="505" t="s">
        <v>1077</v>
      </c>
    </row>
    <row r="360" spans="2:26" ht="14.25">
      <c r="B360" s="437">
        <v>1</v>
      </c>
      <c r="C360" s="255" t="s">
        <v>461</v>
      </c>
      <c r="D360" s="494"/>
      <c r="E360" s="494"/>
      <c r="F360" s="89"/>
      <c r="G360" s="89"/>
      <c r="H360" s="89"/>
      <c r="I360" s="89"/>
      <c r="J360" s="447"/>
      <c r="K360" s="447"/>
      <c r="L360" s="89"/>
      <c r="M360" s="89"/>
      <c r="N360" s="89"/>
      <c r="O360" s="89"/>
      <c r="P360" s="89"/>
      <c r="Q360" s="89"/>
      <c r="R360" s="89"/>
      <c r="S360" s="89"/>
      <c r="T360" s="89"/>
      <c r="U360" s="89"/>
      <c r="V360" s="89"/>
      <c r="W360" s="89"/>
      <c r="X360" s="337">
        <f>IFERROR(E360,"")</f>
        <v>0</v>
      </c>
      <c r="Y360" s="192">
        <f>SUM(F360:I360)</f>
        <v>0</v>
      </c>
      <c r="Z360" s="337">
        <f>J360+K360</f>
        <v>0</v>
      </c>
    </row>
    <row r="361" spans="2:26" ht="14.25">
      <c r="B361" s="437">
        <f>1+B360</f>
        <v>2</v>
      </c>
      <c r="C361" s="255" t="s">
        <v>461</v>
      </c>
      <c r="D361" s="494"/>
      <c r="E361" s="494"/>
      <c r="F361" s="89"/>
      <c r="G361" s="89"/>
      <c r="H361" s="89"/>
      <c r="I361" s="89"/>
      <c r="J361" s="89"/>
      <c r="K361" s="89"/>
      <c r="L361" s="89"/>
      <c r="M361" s="89"/>
      <c r="N361" s="89"/>
      <c r="O361" s="89"/>
      <c r="P361" s="89"/>
      <c r="Q361" s="89"/>
      <c r="R361" s="89"/>
      <c r="S361" s="89"/>
      <c r="T361" s="89"/>
      <c r="U361" s="89"/>
      <c r="V361" s="89"/>
      <c r="W361" s="89"/>
      <c r="X361" s="337">
        <f>E361</f>
        <v>0</v>
      </c>
      <c r="Y361" s="192">
        <f t="shared" ref="Y361:Y424" si="11">SUM(F361:I361)</f>
        <v>0</v>
      </c>
      <c r="Z361" s="337">
        <f>J361+K361</f>
        <v>0</v>
      </c>
    </row>
    <row r="362" spans="2:26" ht="14.25">
      <c r="B362" s="437">
        <f t="shared" ref="B362:B425" si="12">1+B361</f>
        <v>3</v>
      </c>
      <c r="C362" s="255" t="s">
        <v>461</v>
      </c>
      <c r="D362" s="494"/>
      <c r="E362" s="494"/>
      <c r="F362" s="89"/>
      <c r="G362" s="89"/>
      <c r="H362" s="89"/>
      <c r="I362" s="89"/>
      <c r="J362" s="89"/>
      <c r="K362" s="89"/>
      <c r="L362" s="89"/>
      <c r="M362" s="89"/>
      <c r="N362" s="89"/>
      <c r="O362" s="89"/>
      <c r="P362" s="89"/>
      <c r="Q362" s="89"/>
      <c r="R362" s="89"/>
      <c r="S362" s="89"/>
      <c r="T362" s="89"/>
      <c r="U362" s="89"/>
      <c r="V362" s="89"/>
      <c r="W362" s="89"/>
      <c r="X362" s="337">
        <f>E362</f>
        <v>0</v>
      </c>
      <c r="Y362" s="192">
        <f t="shared" si="11"/>
        <v>0</v>
      </c>
      <c r="Z362" s="337">
        <f>J362+K362</f>
        <v>0</v>
      </c>
    </row>
    <row r="363" spans="2:26" ht="14.25">
      <c r="B363" s="437">
        <f t="shared" si="12"/>
        <v>4</v>
      </c>
      <c r="C363" s="255" t="s">
        <v>461</v>
      </c>
      <c r="D363" s="494"/>
      <c r="E363" s="494"/>
      <c r="F363" s="89"/>
      <c r="G363" s="89"/>
      <c r="H363" s="89"/>
      <c r="I363" s="89"/>
      <c r="J363" s="89"/>
      <c r="K363" s="89"/>
      <c r="L363" s="89"/>
      <c r="M363" s="89"/>
      <c r="N363" s="89"/>
      <c r="O363" s="89"/>
      <c r="P363" s="89"/>
      <c r="Q363" s="89"/>
      <c r="R363" s="89"/>
      <c r="S363" s="89"/>
      <c r="T363" s="89"/>
      <c r="U363" s="89"/>
      <c r="V363" s="89"/>
      <c r="W363" s="89"/>
      <c r="X363" s="337">
        <f t="shared" ref="X363:X426" si="13">E363</f>
        <v>0</v>
      </c>
      <c r="Y363" s="192">
        <f t="shared" si="11"/>
        <v>0</v>
      </c>
      <c r="Z363" s="337">
        <f t="shared" ref="Z363:Z426" si="14">J363+K363</f>
        <v>0</v>
      </c>
    </row>
    <row r="364" spans="2:26" ht="14.25">
      <c r="B364" s="437">
        <f t="shared" si="12"/>
        <v>5</v>
      </c>
      <c r="C364" s="255" t="s">
        <v>461</v>
      </c>
      <c r="D364" s="494"/>
      <c r="E364" s="494"/>
      <c r="F364" s="89"/>
      <c r="G364" s="89"/>
      <c r="H364" s="89"/>
      <c r="I364" s="89"/>
      <c r="J364" s="89"/>
      <c r="K364" s="89"/>
      <c r="L364" s="89"/>
      <c r="M364" s="89"/>
      <c r="N364" s="89"/>
      <c r="O364" s="89"/>
      <c r="P364" s="89"/>
      <c r="Q364" s="89"/>
      <c r="R364" s="89"/>
      <c r="S364" s="89"/>
      <c r="T364" s="89"/>
      <c r="U364" s="89"/>
      <c r="V364" s="89"/>
      <c r="W364" s="89"/>
      <c r="X364" s="337">
        <f t="shared" si="13"/>
        <v>0</v>
      </c>
      <c r="Y364" s="192">
        <f t="shared" si="11"/>
        <v>0</v>
      </c>
      <c r="Z364" s="337">
        <f t="shared" si="14"/>
        <v>0</v>
      </c>
    </row>
    <row r="365" spans="2:26" ht="14.25">
      <c r="B365" s="437">
        <f t="shared" si="12"/>
        <v>6</v>
      </c>
      <c r="C365" s="255" t="s">
        <v>461</v>
      </c>
      <c r="D365" s="494"/>
      <c r="E365" s="494"/>
      <c r="F365" s="89"/>
      <c r="G365" s="89"/>
      <c r="H365" s="89"/>
      <c r="I365" s="89"/>
      <c r="J365" s="89"/>
      <c r="K365" s="89"/>
      <c r="L365" s="89"/>
      <c r="M365" s="89"/>
      <c r="N365" s="89"/>
      <c r="O365" s="89"/>
      <c r="P365" s="89"/>
      <c r="Q365" s="89"/>
      <c r="R365" s="89"/>
      <c r="S365" s="89"/>
      <c r="T365" s="89"/>
      <c r="U365" s="89"/>
      <c r="V365" s="89"/>
      <c r="W365" s="89"/>
      <c r="X365" s="337">
        <f t="shared" si="13"/>
        <v>0</v>
      </c>
      <c r="Y365" s="192">
        <f t="shared" si="11"/>
        <v>0</v>
      </c>
      <c r="Z365" s="337">
        <f t="shared" si="14"/>
        <v>0</v>
      </c>
    </row>
    <row r="366" spans="2:26" ht="14.25">
      <c r="B366" s="437">
        <f t="shared" si="12"/>
        <v>7</v>
      </c>
      <c r="C366" s="255" t="s">
        <v>461</v>
      </c>
      <c r="D366" s="494"/>
      <c r="E366" s="494"/>
      <c r="F366" s="89"/>
      <c r="G366" s="89"/>
      <c r="H366" s="89"/>
      <c r="I366" s="89"/>
      <c r="J366" s="89"/>
      <c r="K366" s="89"/>
      <c r="L366" s="89"/>
      <c r="M366" s="89"/>
      <c r="N366" s="89"/>
      <c r="O366" s="89"/>
      <c r="P366" s="89"/>
      <c r="Q366" s="89"/>
      <c r="R366" s="89"/>
      <c r="S366" s="89"/>
      <c r="T366" s="89"/>
      <c r="U366" s="89"/>
      <c r="V366" s="89"/>
      <c r="W366" s="89"/>
      <c r="X366" s="337">
        <f t="shared" si="13"/>
        <v>0</v>
      </c>
      <c r="Y366" s="192">
        <f t="shared" si="11"/>
        <v>0</v>
      </c>
      <c r="Z366" s="337">
        <f t="shared" si="14"/>
        <v>0</v>
      </c>
    </row>
    <row r="367" spans="2:26" ht="14.25">
      <c r="B367" s="437">
        <f t="shared" si="12"/>
        <v>8</v>
      </c>
      <c r="C367" s="255" t="s">
        <v>461</v>
      </c>
      <c r="D367" s="494"/>
      <c r="E367" s="494"/>
      <c r="F367" s="89"/>
      <c r="G367" s="89"/>
      <c r="H367" s="89"/>
      <c r="I367" s="89"/>
      <c r="J367" s="89"/>
      <c r="K367" s="89"/>
      <c r="L367" s="89"/>
      <c r="M367" s="89"/>
      <c r="N367" s="89"/>
      <c r="O367" s="89"/>
      <c r="P367" s="89"/>
      <c r="Q367" s="89"/>
      <c r="R367" s="89"/>
      <c r="S367" s="89"/>
      <c r="T367" s="89"/>
      <c r="U367" s="89"/>
      <c r="V367" s="89"/>
      <c r="W367" s="89"/>
      <c r="X367" s="337">
        <f t="shared" si="13"/>
        <v>0</v>
      </c>
      <c r="Y367" s="192">
        <f t="shared" si="11"/>
        <v>0</v>
      </c>
      <c r="Z367" s="337">
        <f t="shared" si="14"/>
        <v>0</v>
      </c>
    </row>
    <row r="368" spans="2:26" ht="14.25">
      <c r="B368" s="437">
        <f t="shared" si="12"/>
        <v>9</v>
      </c>
      <c r="C368" s="255" t="s">
        <v>461</v>
      </c>
      <c r="D368" s="494"/>
      <c r="E368" s="494"/>
      <c r="F368" s="89"/>
      <c r="G368" s="89"/>
      <c r="H368" s="89"/>
      <c r="I368" s="89"/>
      <c r="J368" s="89"/>
      <c r="K368" s="89"/>
      <c r="L368" s="89"/>
      <c r="M368" s="89"/>
      <c r="N368" s="89"/>
      <c r="O368" s="89"/>
      <c r="P368" s="89"/>
      <c r="Q368" s="89"/>
      <c r="R368" s="89"/>
      <c r="S368" s="89"/>
      <c r="T368" s="89"/>
      <c r="U368" s="89"/>
      <c r="V368" s="89"/>
      <c r="W368" s="89"/>
      <c r="X368" s="337">
        <f t="shared" si="13"/>
        <v>0</v>
      </c>
      <c r="Y368" s="192">
        <f t="shared" si="11"/>
        <v>0</v>
      </c>
      <c r="Z368" s="337">
        <f t="shared" si="14"/>
        <v>0</v>
      </c>
    </row>
    <row r="369" spans="2:26" ht="14.25" hidden="1" outlineLevel="1">
      <c r="B369" s="437">
        <f t="shared" si="12"/>
        <v>10</v>
      </c>
      <c r="C369" s="255" t="s">
        <v>461</v>
      </c>
      <c r="D369" s="494"/>
      <c r="E369" s="494"/>
      <c r="F369" s="89"/>
      <c r="G369" s="89"/>
      <c r="H369" s="89"/>
      <c r="I369" s="89"/>
      <c r="J369" s="89"/>
      <c r="K369" s="89"/>
      <c r="L369" s="89"/>
      <c r="M369" s="89"/>
      <c r="N369" s="89"/>
      <c r="O369" s="89"/>
      <c r="P369" s="89"/>
      <c r="Q369" s="89"/>
      <c r="R369" s="89"/>
      <c r="S369" s="89"/>
      <c r="T369" s="89"/>
      <c r="U369" s="89"/>
      <c r="V369" s="89"/>
      <c r="W369" s="89"/>
      <c r="X369" s="337">
        <f t="shared" si="13"/>
        <v>0</v>
      </c>
      <c r="Y369" s="192">
        <f t="shared" si="11"/>
        <v>0</v>
      </c>
      <c r="Z369" s="337">
        <f t="shared" si="14"/>
        <v>0</v>
      </c>
    </row>
    <row r="370" spans="2:26" ht="14.25" hidden="1" outlineLevel="1">
      <c r="B370" s="437">
        <f t="shared" si="12"/>
        <v>11</v>
      </c>
      <c r="C370" s="255" t="s">
        <v>461</v>
      </c>
      <c r="D370" s="494"/>
      <c r="E370" s="494"/>
      <c r="F370" s="89"/>
      <c r="G370" s="89"/>
      <c r="H370" s="89"/>
      <c r="I370" s="89"/>
      <c r="J370" s="89"/>
      <c r="K370" s="89"/>
      <c r="L370" s="89"/>
      <c r="M370" s="89"/>
      <c r="N370" s="89"/>
      <c r="O370" s="89"/>
      <c r="P370" s="89"/>
      <c r="Q370" s="89"/>
      <c r="R370" s="89"/>
      <c r="S370" s="89"/>
      <c r="T370" s="89"/>
      <c r="U370" s="89"/>
      <c r="V370" s="89"/>
      <c r="W370" s="89"/>
      <c r="X370" s="337">
        <f t="shared" si="13"/>
        <v>0</v>
      </c>
      <c r="Y370" s="192">
        <f t="shared" si="11"/>
        <v>0</v>
      </c>
      <c r="Z370" s="337">
        <f t="shared" si="14"/>
        <v>0</v>
      </c>
    </row>
    <row r="371" spans="2:26" ht="14.25" hidden="1" outlineLevel="1">
      <c r="B371" s="437">
        <f t="shared" si="12"/>
        <v>12</v>
      </c>
      <c r="C371" s="255" t="s">
        <v>461</v>
      </c>
      <c r="D371" s="494"/>
      <c r="E371" s="494"/>
      <c r="F371" s="89"/>
      <c r="G371" s="89"/>
      <c r="H371" s="89"/>
      <c r="I371" s="89"/>
      <c r="J371" s="89"/>
      <c r="K371" s="89"/>
      <c r="L371" s="89"/>
      <c r="M371" s="89"/>
      <c r="N371" s="89"/>
      <c r="O371" s="89"/>
      <c r="P371" s="89"/>
      <c r="Q371" s="89"/>
      <c r="R371" s="89"/>
      <c r="S371" s="89"/>
      <c r="T371" s="89"/>
      <c r="U371" s="89"/>
      <c r="V371" s="89"/>
      <c r="W371" s="89"/>
      <c r="X371" s="337">
        <f t="shared" si="13"/>
        <v>0</v>
      </c>
      <c r="Y371" s="192">
        <f t="shared" si="11"/>
        <v>0</v>
      </c>
      <c r="Z371" s="337">
        <f t="shared" si="14"/>
        <v>0</v>
      </c>
    </row>
    <row r="372" spans="2:26" ht="14.25" hidden="1" outlineLevel="1">
      <c r="B372" s="437">
        <f t="shared" si="12"/>
        <v>13</v>
      </c>
      <c r="C372" s="255" t="s">
        <v>461</v>
      </c>
      <c r="D372" s="494"/>
      <c r="E372" s="494"/>
      <c r="F372" s="89"/>
      <c r="G372" s="89"/>
      <c r="H372" s="89"/>
      <c r="I372" s="89"/>
      <c r="J372" s="89"/>
      <c r="K372" s="89"/>
      <c r="L372" s="89"/>
      <c r="M372" s="89"/>
      <c r="N372" s="89"/>
      <c r="O372" s="89"/>
      <c r="P372" s="89"/>
      <c r="Q372" s="89"/>
      <c r="R372" s="89"/>
      <c r="S372" s="89"/>
      <c r="T372" s="89"/>
      <c r="U372" s="89"/>
      <c r="V372" s="89"/>
      <c r="W372" s="89"/>
      <c r="X372" s="337">
        <f t="shared" si="13"/>
        <v>0</v>
      </c>
      <c r="Y372" s="192">
        <f t="shared" si="11"/>
        <v>0</v>
      </c>
      <c r="Z372" s="337">
        <f t="shared" si="14"/>
        <v>0</v>
      </c>
    </row>
    <row r="373" spans="2:26" ht="14.25" hidden="1" outlineLevel="1">
      <c r="B373" s="437">
        <f t="shared" si="12"/>
        <v>14</v>
      </c>
      <c r="C373" s="255" t="s">
        <v>461</v>
      </c>
      <c r="D373" s="494"/>
      <c r="E373" s="494"/>
      <c r="F373" s="89"/>
      <c r="G373" s="89"/>
      <c r="H373" s="89"/>
      <c r="I373" s="89"/>
      <c r="J373" s="89"/>
      <c r="K373" s="89"/>
      <c r="L373" s="89"/>
      <c r="M373" s="89"/>
      <c r="N373" s="89"/>
      <c r="O373" s="89"/>
      <c r="P373" s="89"/>
      <c r="Q373" s="89"/>
      <c r="R373" s="89"/>
      <c r="S373" s="89"/>
      <c r="T373" s="89"/>
      <c r="U373" s="89"/>
      <c r="V373" s="89"/>
      <c r="W373" s="89"/>
      <c r="X373" s="337">
        <f t="shared" si="13"/>
        <v>0</v>
      </c>
      <c r="Y373" s="192">
        <f t="shared" si="11"/>
        <v>0</v>
      </c>
      <c r="Z373" s="337">
        <f t="shared" si="14"/>
        <v>0</v>
      </c>
    </row>
    <row r="374" spans="2:26" ht="14.25" hidden="1" outlineLevel="1">
      <c r="B374" s="437">
        <f t="shared" si="12"/>
        <v>15</v>
      </c>
      <c r="C374" s="255" t="s">
        <v>461</v>
      </c>
      <c r="D374" s="494"/>
      <c r="E374" s="494"/>
      <c r="F374" s="89"/>
      <c r="G374" s="89"/>
      <c r="H374" s="89"/>
      <c r="I374" s="89"/>
      <c r="J374" s="89"/>
      <c r="K374" s="89"/>
      <c r="L374" s="89"/>
      <c r="M374" s="89"/>
      <c r="N374" s="89"/>
      <c r="O374" s="89"/>
      <c r="P374" s="89"/>
      <c r="Q374" s="89"/>
      <c r="R374" s="89"/>
      <c r="S374" s="89"/>
      <c r="T374" s="89"/>
      <c r="U374" s="89"/>
      <c r="V374" s="89"/>
      <c r="W374" s="89"/>
      <c r="X374" s="337">
        <f t="shared" si="13"/>
        <v>0</v>
      </c>
      <c r="Y374" s="192">
        <f t="shared" si="11"/>
        <v>0</v>
      </c>
      <c r="Z374" s="337">
        <f t="shared" si="14"/>
        <v>0</v>
      </c>
    </row>
    <row r="375" spans="2:26" ht="14.25" hidden="1" outlineLevel="1">
      <c r="B375" s="437">
        <f t="shared" si="12"/>
        <v>16</v>
      </c>
      <c r="C375" s="255" t="s">
        <v>461</v>
      </c>
      <c r="D375" s="494"/>
      <c r="E375" s="494"/>
      <c r="F375" s="89"/>
      <c r="G375" s="89"/>
      <c r="H375" s="89"/>
      <c r="I375" s="89"/>
      <c r="J375" s="89"/>
      <c r="K375" s="89"/>
      <c r="L375" s="89"/>
      <c r="M375" s="89"/>
      <c r="N375" s="89"/>
      <c r="O375" s="89"/>
      <c r="P375" s="89"/>
      <c r="Q375" s="89"/>
      <c r="R375" s="89"/>
      <c r="S375" s="89"/>
      <c r="T375" s="89"/>
      <c r="U375" s="89"/>
      <c r="V375" s="89"/>
      <c r="W375" s="89"/>
      <c r="X375" s="337">
        <f t="shared" si="13"/>
        <v>0</v>
      </c>
      <c r="Y375" s="192">
        <f t="shared" si="11"/>
        <v>0</v>
      </c>
      <c r="Z375" s="337">
        <f t="shared" si="14"/>
        <v>0</v>
      </c>
    </row>
    <row r="376" spans="2:26" ht="14.25" hidden="1" outlineLevel="1">
      <c r="B376" s="437">
        <f t="shared" si="12"/>
        <v>17</v>
      </c>
      <c r="C376" s="255" t="s">
        <v>461</v>
      </c>
      <c r="D376" s="494"/>
      <c r="E376" s="494"/>
      <c r="F376" s="89"/>
      <c r="G376" s="89"/>
      <c r="H376" s="89"/>
      <c r="I376" s="89"/>
      <c r="J376" s="89"/>
      <c r="K376" s="89"/>
      <c r="L376" s="89"/>
      <c r="M376" s="89"/>
      <c r="N376" s="89"/>
      <c r="O376" s="89"/>
      <c r="P376" s="89"/>
      <c r="Q376" s="89"/>
      <c r="R376" s="89"/>
      <c r="S376" s="89"/>
      <c r="T376" s="89"/>
      <c r="U376" s="89"/>
      <c r="V376" s="89"/>
      <c r="W376" s="89"/>
      <c r="X376" s="337">
        <f t="shared" si="13"/>
        <v>0</v>
      </c>
      <c r="Y376" s="192">
        <f t="shared" si="11"/>
        <v>0</v>
      </c>
      <c r="Z376" s="337">
        <f t="shared" si="14"/>
        <v>0</v>
      </c>
    </row>
    <row r="377" spans="2:26" ht="14.25" hidden="1" outlineLevel="1">
      <c r="B377" s="437">
        <f t="shared" si="12"/>
        <v>18</v>
      </c>
      <c r="C377" s="255" t="s">
        <v>461</v>
      </c>
      <c r="D377" s="494"/>
      <c r="E377" s="494"/>
      <c r="F377" s="89"/>
      <c r="G377" s="89"/>
      <c r="H377" s="89"/>
      <c r="I377" s="89"/>
      <c r="J377" s="89"/>
      <c r="K377" s="89"/>
      <c r="L377" s="89"/>
      <c r="M377" s="89"/>
      <c r="N377" s="89"/>
      <c r="O377" s="89"/>
      <c r="P377" s="89"/>
      <c r="Q377" s="89"/>
      <c r="R377" s="89"/>
      <c r="S377" s="89"/>
      <c r="T377" s="89"/>
      <c r="U377" s="89"/>
      <c r="V377" s="89"/>
      <c r="W377" s="89"/>
      <c r="X377" s="337">
        <f t="shared" si="13"/>
        <v>0</v>
      </c>
      <c r="Y377" s="192">
        <f t="shared" si="11"/>
        <v>0</v>
      </c>
      <c r="Z377" s="337">
        <f t="shared" si="14"/>
        <v>0</v>
      </c>
    </row>
    <row r="378" spans="2:26" ht="14.25" hidden="1" outlineLevel="1">
      <c r="B378" s="437">
        <f t="shared" si="12"/>
        <v>19</v>
      </c>
      <c r="C378" s="255" t="s">
        <v>461</v>
      </c>
      <c r="D378" s="494"/>
      <c r="E378" s="494"/>
      <c r="F378" s="89"/>
      <c r="G378" s="89"/>
      <c r="H378" s="89"/>
      <c r="I378" s="89"/>
      <c r="J378" s="89"/>
      <c r="K378" s="89"/>
      <c r="L378" s="89"/>
      <c r="M378" s="89"/>
      <c r="N378" s="89"/>
      <c r="O378" s="89"/>
      <c r="P378" s="89"/>
      <c r="Q378" s="89"/>
      <c r="R378" s="89"/>
      <c r="S378" s="89"/>
      <c r="T378" s="89"/>
      <c r="U378" s="89"/>
      <c r="V378" s="89"/>
      <c r="W378" s="89"/>
      <c r="X378" s="337">
        <f t="shared" si="13"/>
        <v>0</v>
      </c>
      <c r="Y378" s="192">
        <f t="shared" si="11"/>
        <v>0</v>
      </c>
      <c r="Z378" s="337">
        <f t="shared" si="14"/>
        <v>0</v>
      </c>
    </row>
    <row r="379" spans="2:26" ht="14.25" hidden="1" outlineLevel="1">
      <c r="B379" s="437">
        <f t="shared" si="12"/>
        <v>20</v>
      </c>
      <c r="C379" s="255" t="s">
        <v>461</v>
      </c>
      <c r="D379" s="494"/>
      <c r="E379" s="494"/>
      <c r="F379" s="89"/>
      <c r="G379" s="89"/>
      <c r="H379" s="89"/>
      <c r="I379" s="89"/>
      <c r="J379" s="89"/>
      <c r="K379" s="89"/>
      <c r="L379" s="89"/>
      <c r="M379" s="89"/>
      <c r="N379" s="89"/>
      <c r="O379" s="89"/>
      <c r="P379" s="89"/>
      <c r="Q379" s="89"/>
      <c r="R379" s="89"/>
      <c r="S379" s="89"/>
      <c r="T379" s="89"/>
      <c r="U379" s="89"/>
      <c r="V379" s="89"/>
      <c r="W379" s="89"/>
      <c r="X379" s="337">
        <f t="shared" si="13"/>
        <v>0</v>
      </c>
      <c r="Y379" s="192">
        <f t="shared" si="11"/>
        <v>0</v>
      </c>
      <c r="Z379" s="337">
        <f t="shared" si="14"/>
        <v>0</v>
      </c>
    </row>
    <row r="380" spans="2:26" ht="14.25" hidden="1" outlineLevel="1">
      <c r="B380" s="437">
        <f t="shared" si="12"/>
        <v>21</v>
      </c>
      <c r="C380" s="255" t="s">
        <v>461</v>
      </c>
      <c r="D380" s="494"/>
      <c r="E380" s="494"/>
      <c r="F380" s="89"/>
      <c r="G380" s="89"/>
      <c r="H380" s="89"/>
      <c r="I380" s="89"/>
      <c r="J380" s="89"/>
      <c r="K380" s="89"/>
      <c r="L380" s="89"/>
      <c r="M380" s="89"/>
      <c r="N380" s="89"/>
      <c r="O380" s="89"/>
      <c r="P380" s="89"/>
      <c r="Q380" s="89"/>
      <c r="R380" s="89"/>
      <c r="S380" s="89"/>
      <c r="T380" s="89"/>
      <c r="U380" s="89"/>
      <c r="V380" s="89"/>
      <c r="W380" s="89"/>
      <c r="X380" s="337">
        <f t="shared" si="13"/>
        <v>0</v>
      </c>
      <c r="Y380" s="192">
        <f t="shared" si="11"/>
        <v>0</v>
      </c>
      <c r="Z380" s="337">
        <f t="shared" si="14"/>
        <v>0</v>
      </c>
    </row>
    <row r="381" spans="2:26" ht="14.25" hidden="1" outlineLevel="1">
      <c r="B381" s="437">
        <f t="shared" si="12"/>
        <v>22</v>
      </c>
      <c r="C381" s="255" t="s">
        <v>461</v>
      </c>
      <c r="D381" s="494"/>
      <c r="E381" s="494"/>
      <c r="F381" s="89"/>
      <c r="G381" s="89"/>
      <c r="H381" s="89"/>
      <c r="I381" s="89"/>
      <c r="J381" s="89"/>
      <c r="K381" s="89"/>
      <c r="L381" s="89"/>
      <c r="M381" s="89"/>
      <c r="N381" s="89"/>
      <c r="O381" s="89"/>
      <c r="P381" s="89"/>
      <c r="Q381" s="89"/>
      <c r="R381" s="89"/>
      <c r="S381" s="89"/>
      <c r="T381" s="89"/>
      <c r="U381" s="89"/>
      <c r="V381" s="89"/>
      <c r="W381" s="89"/>
      <c r="X381" s="337">
        <f t="shared" si="13"/>
        <v>0</v>
      </c>
      <c r="Y381" s="192">
        <f t="shared" si="11"/>
        <v>0</v>
      </c>
      <c r="Z381" s="337">
        <f t="shared" si="14"/>
        <v>0</v>
      </c>
    </row>
    <row r="382" spans="2:26" ht="14.25" hidden="1" outlineLevel="1">
      <c r="B382" s="437">
        <f t="shared" si="12"/>
        <v>23</v>
      </c>
      <c r="C382" s="255" t="s">
        <v>461</v>
      </c>
      <c r="D382" s="494"/>
      <c r="E382" s="494"/>
      <c r="F382" s="89"/>
      <c r="G382" s="89"/>
      <c r="H382" s="89"/>
      <c r="I382" s="89"/>
      <c r="J382" s="89"/>
      <c r="K382" s="89"/>
      <c r="L382" s="89"/>
      <c r="M382" s="89"/>
      <c r="N382" s="89"/>
      <c r="O382" s="89"/>
      <c r="P382" s="89"/>
      <c r="Q382" s="89"/>
      <c r="R382" s="89"/>
      <c r="S382" s="89"/>
      <c r="T382" s="89"/>
      <c r="U382" s="89"/>
      <c r="V382" s="89"/>
      <c r="W382" s="89"/>
      <c r="X382" s="337">
        <f t="shared" si="13"/>
        <v>0</v>
      </c>
      <c r="Y382" s="192">
        <f t="shared" si="11"/>
        <v>0</v>
      </c>
      <c r="Z382" s="337">
        <f t="shared" si="14"/>
        <v>0</v>
      </c>
    </row>
    <row r="383" spans="2:26" ht="14.25" hidden="1" outlineLevel="1">
      <c r="B383" s="437">
        <f t="shared" si="12"/>
        <v>24</v>
      </c>
      <c r="C383" s="255" t="s">
        <v>461</v>
      </c>
      <c r="D383" s="494"/>
      <c r="E383" s="494"/>
      <c r="F383" s="89"/>
      <c r="G383" s="89"/>
      <c r="H383" s="89"/>
      <c r="I383" s="89"/>
      <c r="J383" s="89"/>
      <c r="K383" s="89"/>
      <c r="L383" s="89"/>
      <c r="M383" s="89"/>
      <c r="N383" s="89"/>
      <c r="O383" s="89"/>
      <c r="P383" s="89"/>
      <c r="Q383" s="89"/>
      <c r="R383" s="89"/>
      <c r="S383" s="89"/>
      <c r="T383" s="89"/>
      <c r="U383" s="89"/>
      <c r="V383" s="89"/>
      <c r="W383" s="89"/>
      <c r="X383" s="337">
        <f t="shared" si="13"/>
        <v>0</v>
      </c>
      <c r="Y383" s="192">
        <f t="shared" si="11"/>
        <v>0</v>
      </c>
      <c r="Z383" s="337">
        <f t="shared" si="14"/>
        <v>0</v>
      </c>
    </row>
    <row r="384" spans="2:26" ht="14.25" hidden="1" outlineLevel="1">
      <c r="B384" s="437">
        <f t="shared" si="12"/>
        <v>25</v>
      </c>
      <c r="C384" s="255" t="s">
        <v>461</v>
      </c>
      <c r="D384" s="494"/>
      <c r="E384" s="494"/>
      <c r="F384" s="89"/>
      <c r="G384" s="89"/>
      <c r="H384" s="89"/>
      <c r="I384" s="89"/>
      <c r="J384" s="89"/>
      <c r="K384" s="89"/>
      <c r="L384" s="89"/>
      <c r="M384" s="89"/>
      <c r="N384" s="89"/>
      <c r="O384" s="89"/>
      <c r="P384" s="89"/>
      <c r="Q384" s="89"/>
      <c r="R384" s="89"/>
      <c r="S384" s="89"/>
      <c r="T384" s="89"/>
      <c r="U384" s="89"/>
      <c r="V384" s="89"/>
      <c r="W384" s="89"/>
      <c r="X384" s="337">
        <f t="shared" si="13"/>
        <v>0</v>
      </c>
      <c r="Y384" s="192">
        <f t="shared" si="11"/>
        <v>0</v>
      </c>
      <c r="Z384" s="337">
        <f t="shared" si="14"/>
        <v>0</v>
      </c>
    </row>
    <row r="385" spans="2:26" ht="14.25" hidden="1" outlineLevel="1">
      <c r="B385" s="437">
        <f t="shared" si="12"/>
        <v>26</v>
      </c>
      <c r="C385" s="255" t="s">
        <v>461</v>
      </c>
      <c r="D385" s="494"/>
      <c r="E385" s="494"/>
      <c r="F385" s="89"/>
      <c r="G385" s="89"/>
      <c r="H385" s="89"/>
      <c r="I385" s="89"/>
      <c r="J385" s="89"/>
      <c r="K385" s="89"/>
      <c r="L385" s="89"/>
      <c r="M385" s="89"/>
      <c r="N385" s="89"/>
      <c r="O385" s="89"/>
      <c r="P385" s="89"/>
      <c r="Q385" s="89"/>
      <c r="R385" s="89"/>
      <c r="S385" s="89"/>
      <c r="T385" s="89"/>
      <c r="U385" s="89"/>
      <c r="V385" s="89"/>
      <c r="W385" s="89"/>
      <c r="X385" s="337">
        <f t="shared" si="13"/>
        <v>0</v>
      </c>
      <c r="Y385" s="192">
        <f t="shared" si="11"/>
        <v>0</v>
      </c>
      <c r="Z385" s="337">
        <f t="shared" si="14"/>
        <v>0</v>
      </c>
    </row>
    <row r="386" spans="2:26" ht="14.25" hidden="1" outlineLevel="1">
      <c r="B386" s="437">
        <f t="shared" si="12"/>
        <v>27</v>
      </c>
      <c r="C386" s="255" t="s">
        <v>461</v>
      </c>
      <c r="D386" s="494"/>
      <c r="E386" s="494"/>
      <c r="F386" s="89"/>
      <c r="G386" s="89"/>
      <c r="H386" s="89"/>
      <c r="I386" s="89"/>
      <c r="J386" s="89"/>
      <c r="K386" s="89"/>
      <c r="L386" s="89"/>
      <c r="M386" s="89"/>
      <c r="N386" s="89"/>
      <c r="O386" s="89"/>
      <c r="P386" s="89"/>
      <c r="Q386" s="89"/>
      <c r="R386" s="89"/>
      <c r="S386" s="89"/>
      <c r="T386" s="89"/>
      <c r="U386" s="89"/>
      <c r="V386" s="89"/>
      <c r="W386" s="89"/>
      <c r="X386" s="337">
        <f t="shared" si="13"/>
        <v>0</v>
      </c>
      <c r="Y386" s="192">
        <f t="shared" si="11"/>
        <v>0</v>
      </c>
      <c r="Z386" s="337">
        <f t="shared" si="14"/>
        <v>0</v>
      </c>
    </row>
    <row r="387" spans="2:26" ht="14.25" hidden="1" outlineLevel="1">
      <c r="B387" s="437">
        <f t="shared" si="12"/>
        <v>28</v>
      </c>
      <c r="C387" s="255" t="s">
        <v>461</v>
      </c>
      <c r="D387" s="494"/>
      <c r="E387" s="494"/>
      <c r="F387" s="89"/>
      <c r="G387" s="89"/>
      <c r="H387" s="89"/>
      <c r="I387" s="89"/>
      <c r="J387" s="89"/>
      <c r="K387" s="89"/>
      <c r="L387" s="89"/>
      <c r="M387" s="89"/>
      <c r="N387" s="89"/>
      <c r="O387" s="89"/>
      <c r="P387" s="89"/>
      <c r="Q387" s="89"/>
      <c r="R387" s="89"/>
      <c r="S387" s="89"/>
      <c r="T387" s="89"/>
      <c r="U387" s="89"/>
      <c r="V387" s="89"/>
      <c r="W387" s="89"/>
      <c r="X387" s="337">
        <f t="shared" si="13"/>
        <v>0</v>
      </c>
      <c r="Y387" s="192">
        <f t="shared" si="11"/>
        <v>0</v>
      </c>
      <c r="Z387" s="337">
        <f t="shared" si="14"/>
        <v>0</v>
      </c>
    </row>
    <row r="388" spans="2:26" ht="14.25" hidden="1" outlineLevel="1">
      <c r="B388" s="437">
        <f t="shared" si="12"/>
        <v>29</v>
      </c>
      <c r="C388" s="255" t="s">
        <v>461</v>
      </c>
      <c r="D388" s="494"/>
      <c r="E388" s="494"/>
      <c r="F388" s="89"/>
      <c r="G388" s="89"/>
      <c r="H388" s="89"/>
      <c r="I388" s="89"/>
      <c r="J388" s="89"/>
      <c r="K388" s="89"/>
      <c r="L388" s="89"/>
      <c r="M388" s="89"/>
      <c r="N388" s="89"/>
      <c r="O388" s="89"/>
      <c r="P388" s="89"/>
      <c r="Q388" s="89"/>
      <c r="R388" s="89"/>
      <c r="S388" s="89"/>
      <c r="T388" s="89"/>
      <c r="U388" s="89"/>
      <c r="V388" s="89"/>
      <c r="W388" s="89"/>
      <c r="X388" s="337">
        <f t="shared" si="13"/>
        <v>0</v>
      </c>
      <c r="Y388" s="192">
        <f t="shared" si="11"/>
        <v>0</v>
      </c>
      <c r="Z388" s="337">
        <f t="shared" si="14"/>
        <v>0</v>
      </c>
    </row>
    <row r="389" spans="2:26" ht="14.25" hidden="1" outlineLevel="1">
      <c r="B389" s="437">
        <f t="shared" si="12"/>
        <v>30</v>
      </c>
      <c r="C389" s="255" t="s">
        <v>461</v>
      </c>
      <c r="D389" s="494"/>
      <c r="E389" s="494"/>
      <c r="F389" s="89"/>
      <c r="G389" s="89"/>
      <c r="H389" s="89"/>
      <c r="I389" s="89"/>
      <c r="J389" s="89"/>
      <c r="K389" s="89"/>
      <c r="L389" s="89"/>
      <c r="M389" s="89"/>
      <c r="N389" s="89"/>
      <c r="O389" s="89"/>
      <c r="P389" s="89"/>
      <c r="Q389" s="89"/>
      <c r="R389" s="89"/>
      <c r="S389" s="89"/>
      <c r="T389" s="89"/>
      <c r="U389" s="89"/>
      <c r="V389" s="89"/>
      <c r="W389" s="89"/>
      <c r="X389" s="337">
        <f t="shared" si="13"/>
        <v>0</v>
      </c>
      <c r="Y389" s="192">
        <f t="shared" si="11"/>
        <v>0</v>
      </c>
      <c r="Z389" s="337">
        <f t="shared" si="14"/>
        <v>0</v>
      </c>
    </row>
    <row r="390" spans="2:26" ht="14.25" hidden="1" outlineLevel="1">
      <c r="B390" s="437">
        <f t="shared" si="12"/>
        <v>31</v>
      </c>
      <c r="C390" s="255" t="s">
        <v>461</v>
      </c>
      <c r="D390" s="494"/>
      <c r="E390" s="494"/>
      <c r="F390" s="89"/>
      <c r="G390" s="89"/>
      <c r="H390" s="89"/>
      <c r="I390" s="89"/>
      <c r="J390" s="89"/>
      <c r="K390" s="89"/>
      <c r="L390" s="89"/>
      <c r="M390" s="89"/>
      <c r="N390" s="89"/>
      <c r="O390" s="89"/>
      <c r="P390" s="89"/>
      <c r="Q390" s="89"/>
      <c r="R390" s="89"/>
      <c r="S390" s="89"/>
      <c r="T390" s="89"/>
      <c r="U390" s="89"/>
      <c r="V390" s="89"/>
      <c r="W390" s="89"/>
      <c r="X390" s="337">
        <f t="shared" si="13"/>
        <v>0</v>
      </c>
      <c r="Y390" s="192">
        <f t="shared" si="11"/>
        <v>0</v>
      </c>
      <c r="Z390" s="337">
        <f t="shared" si="14"/>
        <v>0</v>
      </c>
    </row>
    <row r="391" spans="2:26" ht="14.25" hidden="1" outlineLevel="1">
      <c r="B391" s="437">
        <f t="shared" si="12"/>
        <v>32</v>
      </c>
      <c r="C391" s="255" t="s">
        <v>461</v>
      </c>
      <c r="D391" s="494"/>
      <c r="E391" s="494"/>
      <c r="F391" s="89"/>
      <c r="G391" s="89"/>
      <c r="H391" s="89"/>
      <c r="I391" s="89"/>
      <c r="J391" s="89"/>
      <c r="K391" s="89"/>
      <c r="L391" s="89"/>
      <c r="M391" s="89"/>
      <c r="N391" s="89"/>
      <c r="O391" s="89"/>
      <c r="P391" s="89"/>
      <c r="Q391" s="89"/>
      <c r="R391" s="89"/>
      <c r="S391" s="89"/>
      <c r="T391" s="89"/>
      <c r="U391" s="89"/>
      <c r="V391" s="89"/>
      <c r="W391" s="89"/>
      <c r="X391" s="337">
        <f t="shared" si="13"/>
        <v>0</v>
      </c>
      <c r="Y391" s="192">
        <f t="shared" si="11"/>
        <v>0</v>
      </c>
      <c r="Z391" s="337">
        <f t="shared" si="14"/>
        <v>0</v>
      </c>
    </row>
    <row r="392" spans="2:26" ht="14.25" hidden="1" outlineLevel="1">
      <c r="B392" s="437">
        <f t="shared" si="12"/>
        <v>33</v>
      </c>
      <c r="C392" s="255" t="s">
        <v>461</v>
      </c>
      <c r="D392" s="494"/>
      <c r="E392" s="494"/>
      <c r="F392" s="89"/>
      <c r="G392" s="89"/>
      <c r="H392" s="89"/>
      <c r="I392" s="89"/>
      <c r="J392" s="89"/>
      <c r="K392" s="89"/>
      <c r="L392" s="89"/>
      <c r="M392" s="89"/>
      <c r="N392" s="89"/>
      <c r="O392" s="89"/>
      <c r="P392" s="89"/>
      <c r="Q392" s="89"/>
      <c r="R392" s="89"/>
      <c r="S392" s="89"/>
      <c r="T392" s="89"/>
      <c r="U392" s="89"/>
      <c r="V392" s="89"/>
      <c r="W392" s="89"/>
      <c r="X392" s="337">
        <f t="shared" si="13"/>
        <v>0</v>
      </c>
      <c r="Y392" s="192">
        <f t="shared" si="11"/>
        <v>0</v>
      </c>
      <c r="Z392" s="337">
        <f t="shared" si="14"/>
        <v>0</v>
      </c>
    </row>
    <row r="393" spans="2:26" ht="14.25" hidden="1" outlineLevel="1">
      <c r="B393" s="437">
        <f t="shared" si="12"/>
        <v>34</v>
      </c>
      <c r="C393" s="255" t="s">
        <v>461</v>
      </c>
      <c r="D393" s="494"/>
      <c r="E393" s="494"/>
      <c r="F393" s="89"/>
      <c r="G393" s="89"/>
      <c r="H393" s="89"/>
      <c r="I393" s="89"/>
      <c r="J393" s="89"/>
      <c r="K393" s="89"/>
      <c r="L393" s="89"/>
      <c r="M393" s="89"/>
      <c r="N393" s="89"/>
      <c r="O393" s="89"/>
      <c r="P393" s="89"/>
      <c r="Q393" s="89"/>
      <c r="R393" s="89"/>
      <c r="S393" s="89"/>
      <c r="T393" s="89"/>
      <c r="U393" s="89"/>
      <c r="V393" s="89"/>
      <c r="W393" s="89"/>
      <c r="X393" s="337">
        <f t="shared" si="13"/>
        <v>0</v>
      </c>
      <c r="Y393" s="192">
        <f t="shared" si="11"/>
        <v>0</v>
      </c>
      <c r="Z393" s="337">
        <f t="shared" si="14"/>
        <v>0</v>
      </c>
    </row>
    <row r="394" spans="2:26" ht="14.25" hidden="1" outlineLevel="1">
      <c r="B394" s="437">
        <f t="shared" si="12"/>
        <v>35</v>
      </c>
      <c r="C394" s="255" t="s">
        <v>461</v>
      </c>
      <c r="D394" s="494"/>
      <c r="E394" s="494"/>
      <c r="F394" s="89"/>
      <c r="G394" s="89"/>
      <c r="H394" s="89"/>
      <c r="I394" s="89"/>
      <c r="J394" s="89"/>
      <c r="K394" s="89"/>
      <c r="L394" s="89"/>
      <c r="M394" s="89"/>
      <c r="N394" s="89"/>
      <c r="O394" s="89"/>
      <c r="P394" s="89"/>
      <c r="Q394" s="89"/>
      <c r="R394" s="89"/>
      <c r="S394" s="89"/>
      <c r="T394" s="89"/>
      <c r="U394" s="89"/>
      <c r="V394" s="89"/>
      <c r="W394" s="89"/>
      <c r="X394" s="337">
        <f t="shared" si="13"/>
        <v>0</v>
      </c>
      <c r="Y394" s="192">
        <f t="shared" si="11"/>
        <v>0</v>
      </c>
      <c r="Z394" s="337">
        <f t="shared" si="14"/>
        <v>0</v>
      </c>
    </row>
    <row r="395" spans="2:26" ht="14.25" hidden="1" outlineLevel="1">
      <c r="B395" s="437">
        <f t="shared" si="12"/>
        <v>36</v>
      </c>
      <c r="C395" s="255" t="s">
        <v>461</v>
      </c>
      <c r="D395" s="494"/>
      <c r="E395" s="494"/>
      <c r="F395" s="89"/>
      <c r="G395" s="89"/>
      <c r="H395" s="89"/>
      <c r="I395" s="89"/>
      <c r="J395" s="89"/>
      <c r="K395" s="89"/>
      <c r="L395" s="89"/>
      <c r="M395" s="89"/>
      <c r="N395" s="89"/>
      <c r="O395" s="89"/>
      <c r="P395" s="89"/>
      <c r="Q395" s="89"/>
      <c r="R395" s="89"/>
      <c r="S395" s="89"/>
      <c r="T395" s="89"/>
      <c r="U395" s="89"/>
      <c r="V395" s="89"/>
      <c r="W395" s="89"/>
      <c r="X395" s="337">
        <f t="shared" si="13"/>
        <v>0</v>
      </c>
      <c r="Y395" s="192">
        <f t="shared" si="11"/>
        <v>0</v>
      </c>
      <c r="Z395" s="337">
        <f t="shared" si="14"/>
        <v>0</v>
      </c>
    </row>
    <row r="396" spans="2:26" ht="14.25" hidden="1" outlineLevel="1">
      <c r="B396" s="437">
        <f t="shared" si="12"/>
        <v>37</v>
      </c>
      <c r="C396" s="255" t="s">
        <v>461</v>
      </c>
      <c r="D396" s="494"/>
      <c r="E396" s="494"/>
      <c r="F396" s="89"/>
      <c r="G396" s="89"/>
      <c r="H396" s="89"/>
      <c r="I396" s="89"/>
      <c r="J396" s="89"/>
      <c r="K396" s="89"/>
      <c r="L396" s="89"/>
      <c r="M396" s="89"/>
      <c r="N396" s="89"/>
      <c r="O396" s="89"/>
      <c r="P396" s="89"/>
      <c r="Q396" s="89"/>
      <c r="R396" s="89"/>
      <c r="S396" s="89"/>
      <c r="T396" s="89"/>
      <c r="U396" s="89"/>
      <c r="V396" s="89"/>
      <c r="W396" s="89"/>
      <c r="X396" s="337">
        <f t="shared" si="13"/>
        <v>0</v>
      </c>
      <c r="Y396" s="192">
        <f t="shared" si="11"/>
        <v>0</v>
      </c>
      <c r="Z396" s="337">
        <f t="shared" si="14"/>
        <v>0</v>
      </c>
    </row>
    <row r="397" spans="2:26" ht="14.25" hidden="1" outlineLevel="1">
      <c r="B397" s="437">
        <f t="shared" si="12"/>
        <v>38</v>
      </c>
      <c r="C397" s="255" t="s">
        <v>461</v>
      </c>
      <c r="D397" s="494"/>
      <c r="E397" s="494"/>
      <c r="F397" s="89"/>
      <c r="G397" s="89"/>
      <c r="H397" s="89"/>
      <c r="I397" s="89"/>
      <c r="J397" s="89"/>
      <c r="K397" s="89"/>
      <c r="L397" s="89"/>
      <c r="M397" s="89"/>
      <c r="N397" s="89"/>
      <c r="O397" s="89"/>
      <c r="P397" s="89"/>
      <c r="Q397" s="89"/>
      <c r="R397" s="89"/>
      <c r="S397" s="89"/>
      <c r="T397" s="89"/>
      <c r="U397" s="89"/>
      <c r="V397" s="89"/>
      <c r="W397" s="89"/>
      <c r="X397" s="337">
        <f t="shared" si="13"/>
        <v>0</v>
      </c>
      <c r="Y397" s="192">
        <f t="shared" si="11"/>
        <v>0</v>
      </c>
      <c r="Z397" s="337">
        <f t="shared" si="14"/>
        <v>0</v>
      </c>
    </row>
    <row r="398" spans="2:26" ht="14.25" hidden="1" outlineLevel="1">
      <c r="B398" s="437">
        <f t="shared" si="12"/>
        <v>39</v>
      </c>
      <c r="C398" s="255" t="s">
        <v>461</v>
      </c>
      <c r="D398" s="494"/>
      <c r="E398" s="494"/>
      <c r="F398" s="89"/>
      <c r="G398" s="89"/>
      <c r="H398" s="89"/>
      <c r="I398" s="89"/>
      <c r="J398" s="89"/>
      <c r="K398" s="89"/>
      <c r="L398" s="89"/>
      <c r="M398" s="89"/>
      <c r="N398" s="89"/>
      <c r="O398" s="89"/>
      <c r="P398" s="89"/>
      <c r="Q398" s="89"/>
      <c r="R398" s="89"/>
      <c r="S398" s="89"/>
      <c r="T398" s="89"/>
      <c r="U398" s="89"/>
      <c r="V398" s="89"/>
      <c r="W398" s="89"/>
      <c r="X398" s="337">
        <f t="shared" si="13"/>
        <v>0</v>
      </c>
      <c r="Y398" s="192">
        <f t="shared" si="11"/>
        <v>0</v>
      </c>
      <c r="Z398" s="337">
        <f t="shared" si="14"/>
        <v>0</v>
      </c>
    </row>
    <row r="399" spans="2:26" ht="14.25" hidden="1" outlineLevel="1">
      <c r="B399" s="437">
        <f t="shared" si="12"/>
        <v>40</v>
      </c>
      <c r="C399" s="255" t="s">
        <v>461</v>
      </c>
      <c r="D399" s="494"/>
      <c r="E399" s="494"/>
      <c r="F399" s="89"/>
      <c r="G399" s="89"/>
      <c r="H399" s="89"/>
      <c r="I399" s="89"/>
      <c r="J399" s="89"/>
      <c r="K399" s="89"/>
      <c r="L399" s="89"/>
      <c r="M399" s="89"/>
      <c r="N399" s="89"/>
      <c r="O399" s="89"/>
      <c r="P399" s="89"/>
      <c r="Q399" s="89"/>
      <c r="R399" s="89"/>
      <c r="S399" s="89"/>
      <c r="T399" s="89"/>
      <c r="U399" s="89"/>
      <c r="V399" s="89"/>
      <c r="W399" s="89"/>
      <c r="X399" s="337">
        <f t="shared" si="13"/>
        <v>0</v>
      </c>
      <c r="Y399" s="192">
        <f t="shared" si="11"/>
        <v>0</v>
      </c>
      <c r="Z399" s="337">
        <f t="shared" si="14"/>
        <v>0</v>
      </c>
    </row>
    <row r="400" spans="2:26" ht="14.25" hidden="1" outlineLevel="1">
      <c r="B400" s="437">
        <f t="shared" si="12"/>
        <v>41</v>
      </c>
      <c r="C400" s="255" t="s">
        <v>461</v>
      </c>
      <c r="D400" s="494"/>
      <c r="E400" s="494"/>
      <c r="F400" s="89"/>
      <c r="G400" s="89"/>
      <c r="H400" s="89"/>
      <c r="I400" s="89"/>
      <c r="J400" s="89"/>
      <c r="K400" s="89"/>
      <c r="L400" s="89"/>
      <c r="M400" s="89"/>
      <c r="N400" s="89"/>
      <c r="O400" s="89"/>
      <c r="P400" s="89"/>
      <c r="Q400" s="89"/>
      <c r="R400" s="89"/>
      <c r="S400" s="89"/>
      <c r="T400" s="89"/>
      <c r="U400" s="89"/>
      <c r="V400" s="89"/>
      <c r="W400" s="89"/>
      <c r="X400" s="337">
        <f t="shared" si="13"/>
        <v>0</v>
      </c>
      <c r="Y400" s="192">
        <f t="shared" si="11"/>
        <v>0</v>
      </c>
      <c r="Z400" s="337">
        <f t="shared" si="14"/>
        <v>0</v>
      </c>
    </row>
    <row r="401" spans="2:26" ht="14.25" hidden="1" outlineLevel="1">
      <c r="B401" s="437">
        <f t="shared" si="12"/>
        <v>42</v>
      </c>
      <c r="C401" s="255" t="s">
        <v>461</v>
      </c>
      <c r="D401" s="494"/>
      <c r="E401" s="494"/>
      <c r="F401" s="89"/>
      <c r="G401" s="89"/>
      <c r="H401" s="89"/>
      <c r="I401" s="89"/>
      <c r="J401" s="89"/>
      <c r="K401" s="89"/>
      <c r="L401" s="89"/>
      <c r="M401" s="89"/>
      <c r="N401" s="89"/>
      <c r="O401" s="89"/>
      <c r="P401" s="89"/>
      <c r="Q401" s="89"/>
      <c r="R401" s="89"/>
      <c r="S401" s="89"/>
      <c r="T401" s="89"/>
      <c r="U401" s="89"/>
      <c r="V401" s="89"/>
      <c r="W401" s="89"/>
      <c r="X401" s="337">
        <f t="shared" si="13"/>
        <v>0</v>
      </c>
      <c r="Y401" s="192">
        <f t="shared" si="11"/>
        <v>0</v>
      </c>
      <c r="Z401" s="337">
        <f t="shared" si="14"/>
        <v>0</v>
      </c>
    </row>
    <row r="402" spans="2:26" ht="14.25" hidden="1" outlineLevel="1">
      <c r="B402" s="437">
        <f t="shared" si="12"/>
        <v>43</v>
      </c>
      <c r="C402" s="255" t="s">
        <v>461</v>
      </c>
      <c r="D402" s="494"/>
      <c r="E402" s="494"/>
      <c r="F402" s="89"/>
      <c r="G402" s="89"/>
      <c r="H402" s="89"/>
      <c r="I402" s="89"/>
      <c r="J402" s="89"/>
      <c r="K402" s="89"/>
      <c r="L402" s="89"/>
      <c r="M402" s="89"/>
      <c r="N402" s="89"/>
      <c r="O402" s="89"/>
      <c r="P402" s="89"/>
      <c r="Q402" s="89"/>
      <c r="R402" s="89"/>
      <c r="S402" s="89"/>
      <c r="T402" s="89"/>
      <c r="U402" s="89"/>
      <c r="V402" s="89"/>
      <c r="W402" s="89"/>
      <c r="X402" s="337">
        <f t="shared" si="13"/>
        <v>0</v>
      </c>
      <c r="Y402" s="192">
        <f t="shared" si="11"/>
        <v>0</v>
      </c>
      <c r="Z402" s="337">
        <f t="shared" si="14"/>
        <v>0</v>
      </c>
    </row>
    <row r="403" spans="2:26" ht="14.25" hidden="1" outlineLevel="1">
      <c r="B403" s="437">
        <f t="shared" si="12"/>
        <v>44</v>
      </c>
      <c r="C403" s="255" t="s">
        <v>461</v>
      </c>
      <c r="D403" s="494"/>
      <c r="E403" s="494"/>
      <c r="F403" s="89"/>
      <c r="G403" s="89"/>
      <c r="H403" s="89"/>
      <c r="I403" s="89"/>
      <c r="J403" s="89"/>
      <c r="K403" s="89"/>
      <c r="L403" s="89"/>
      <c r="M403" s="89"/>
      <c r="N403" s="89"/>
      <c r="O403" s="89"/>
      <c r="P403" s="89"/>
      <c r="Q403" s="89"/>
      <c r="R403" s="89"/>
      <c r="S403" s="89"/>
      <c r="T403" s="89"/>
      <c r="U403" s="89"/>
      <c r="V403" s="89"/>
      <c r="W403" s="89"/>
      <c r="X403" s="337">
        <f t="shared" si="13"/>
        <v>0</v>
      </c>
      <c r="Y403" s="192">
        <f t="shared" si="11"/>
        <v>0</v>
      </c>
      <c r="Z403" s="337">
        <f t="shared" si="14"/>
        <v>0</v>
      </c>
    </row>
    <row r="404" spans="2:26" ht="14.25" hidden="1" outlineLevel="1">
      <c r="B404" s="437">
        <f t="shared" si="12"/>
        <v>45</v>
      </c>
      <c r="C404" s="255" t="s">
        <v>461</v>
      </c>
      <c r="D404" s="494"/>
      <c r="E404" s="494"/>
      <c r="F404" s="89"/>
      <c r="G404" s="89"/>
      <c r="H404" s="89"/>
      <c r="I404" s="89"/>
      <c r="J404" s="89"/>
      <c r="K404" s="89"/>
      <c r="L404" s="89"/>
      <c r="M404" s="89"/>
      <c r="N404" s="89"/>
      <c r="O404" s="89"/>
      <c r="P404" s="89"/>
      <c r="Q404" s="89"/>
      <c r="R404" s="89"/>
      <c r="S404" s="89"/>
      <c r="T404" s="89"/>
      <c r="U404" s="89"/>
      <c r="V404" s="89"/>
      <c r="W404" s="89"/>
      <c r="X404" s="337">
        <f t="shared" si="13"/>
        <v>0</v>
      </c>
      <c r="Y404" s="192">
        <f t="shared" si="11"/>
        <v>0</v>
      </c>
      <c r="Z404" s="337">
        <f t="shared" si="14"/>
        <v>0</v>
      </c>
    </row>
    <row r="405" spans="2:26" ht="14.25" hidden="1" outlineLevel="1">
      <c r="B405" s="437">
        <f t="shared" si="12"/>
        <v>46</v>
      </c>
      <c r="C405" s="255" t="s">
        <v>461</v>
      </c>
      <c r="D405" s="494"/>
      <c r="E405" s="494"/>
      <c r="F405" s="89"/>
      <c r="G405" s="89"/>
      <c r="H405" s="89"/>
      <c r="I405" s="89"/>
      <c r="J405" s="89"/>
      <c r="K405" s="89"/>
      <c r="L405" s="89"/>
      <c r="M405" s="89"/>
      <c r="N405" s="89"/>
      <c r="O405" s="89"/>
      <c r="P405" s="89"/>
      <c r="Q405" s="89"/>
      <c r="R405" s="89"/>
      <c r="S405" s="89"/>
      <c r="T405" s="89"/>
      <c r="U405" s="89"/>
      <c r="V405" s="89"/>
      <c r="W405" s="89"/>
      <c r="X405" s="337">
        <f t="shared" si="13"/>
        <v>0</v>
      </c>
      <c r="Y405" s="192">
        <f t="shared" si="11"/>
        <v>0</v>
      </c>
      <c r="Z405" s="337">
        <f t="shared" si="14"/>
        <v>0</v>
      </c>
    </row>
    <row r="406" spans="2:26" ht="14.25" hidden="1" outlineLevel="1">
      <c r="B406" s="437">
        <f t="shared" si="12"/>
        <v>47</v>
      </c>
      <c r="C406" s="255" t="s">
        <v>461</v>
      </c>
      <c r="D406" s="494"/>
      <c r="E406" s="494"/>
      <c r="F406" s="89"/>
      <c r="G406" s="89"/>
      <c r="H406" s="89"/>
      <c r="I406" s="89"/>
      <c r="J406" s="89"/>
      <c r="K406" s="89"/>
      <c r="L406" s="89"/>
      <c r="M406" s="89"/>
      <c r="N406" s="89"/>
      <c r="O406" s="89"/>
      <c r="P406" s="89"/>
      <c r="Q406" s="89"/>
      <c r="R406" s="89"/>
      <c r="S406" s="89"/>
      <c r="T406" s="89"/>
      <c r="U406" s="89"/>
      <c r="V406" s="89"/>
      <c r="W406" s="89"/>
      <c r="X406" s="337">
        <f t="shared" si="13"/>
        <v>0</v>
      </c>
      <c r="Y406" s="192">
        <f t="shared" si="11"/>
        <v>0</v>
      </c>
      <c r="Z406" s="337">
        <f t="shared" si="14"/>
        <v>0</v>
      </c>
    </row>
    <row r="407" spans="2:26" ht="14.25" hidden="1" outlineLevel="1">
      <c r="B407" s="437">
        <f t="shared" si="12"/>
        <v>48</v>
      </c>
      <c r="C407" s="255" t="s">
        <v>461</v>
      </c>
      <c r="D407" s="494"/>
      <c r="E407" s="494"/>
      <c r="F407" s="89"/>
      <c r="G407" s="89"/>
      <c r="H407" s="89"/>
      <c r="I407" s="89"/>
      <c r="J407" s="89"/>
      <c r="K407" s="89"/>
      <c r="L407" s="89"/>
      <c r="M407" s="89"/>
      <c r="N407" s="89"/>
      <c r="O407" s="89"/>
      <c r="P407" s="89"/>
      <c r="Q407" s="89"/>
      <c r="R407" s="89"/>
      <c r="S407" s="89"/>
      <c r="T407" s="89"/>
      <c r="U407" s="89"/>
      <c r="V407" s="89"/>
      <c r="W407" s="89"/>
      <c r="X407" s="337">
        <f t="shared" si="13"/>
        <v>0</v>
      </c>
      <c r="Y407" s="192">
        <f t="shared" si="11"/>
        <v>0</v>
      </c>
      <c r="Z407" s="337">
        <f t="shared" si="14"/>
        <v>0</v>
      </c>
    </row>
    <row r="408" spans="2:26" ht="14.25" hidden="1" outlineLevel="1">
      <c r="B408" s="437">
        <f t="shared" si="12"/>
        <v>49</v>
      </c>
      <c r="C408" s="255" t="s">
        <v>461</v>
      </c>
      <c r="D408" s="494"/>
      <c r="E408" s="494"/>
      <c r="F408" s="89"/>
      <c r="G408" s="89"/>
      <c r="H408" s="89"/>
      <c r="I408" s="89"/>
      <c r="J408" s="89"/>
      <c r="K408" s="89"/>
      <c r="L408" s="89"/>
      <c r="M408" s="89"/>
      <c r="N408" s="89"/>
      <c r="O408" s="89"/>
      <c r="P408" s="89"/>
      <c r="Q408" s="89"/>
      <c r="R408" s="89"/>
      <c r="S408" s="89"/>
      <c r="T408" s="89"/>
      <c r="U408" s="89"/>
      <c r="V408" s="89"/>
      <c r="W408" s="89"/>
      <c r="X408" s="337">
        <f t="shared" si="13"/>
        <v>0</v>
      </c>
      <c r="Y408" s="192">
        <f t="shared" si="11"/>
        <v>0</v>
      </c>
      <c r="Z408" s="337">
        <f t="shared" si="14"/>
        <v>0</v>
      </c>
    </row>
    <row r="409" spans="2:26" ht="14.25" hidden="1" outlineLevel="1">
      <c r="B409" s="437">
        <f t="shared" si="12"/>
        <v>50</v>
      </c>
      <c r="C409" s="255" t="s">
        <v>461</v>
      </c>
      <c r="D409" s="494"/>
      <c r="E409" s="494"/>
      <c r="F409" s="89"/>
      <c r="G409" s="89"/>
      <c r="H409" s="89"/>
      <c r="I409" s="89"/>
      <c r="J409" s="89"/>
      <c r="K409" s="89"/>
      <c r="L409" s="89"/>
      <c r="M409" s="89"/>
      <c r="N409" s="89"/>
      <c r="O409" s="89"/>
      <c r="P409" s="89"/>
      <c r="Q409" s="89"/>
      <c r="R409" s="89"/>
      <c r="S409" s="89"/>
      <c r="T409" s="89"/>
      <c r="U409" s="89"/>
      <c r="V409" s="89"/>
      <c r="W409" s="89"/>
      <c r="X409" s="337">
        <f t="shared" si="13"/>
        <v>0</v>
      </c>
      <c r="Y409" s="192">
        <f t="shared" si="11"/>
        <v>0</v>
      </c>
      <c r="Z409" s="337">
        <f t="shared" si="14"/>
        <v>0</v>
      </c>
    </row>
    <row r="410" spans="2:26" ht="14.25" hidden="1" outlineLevel="1">
      <c r="B410" s="437">
        <f t="shared" si="12"/>
        <v>51</v>
      </c>
      <c r="C410" s="255" t="s">
        <v>461</v>
      </c>
      <c r="D410" s="494"/>
      <c r="E410" s="494"/>
      <c r="F410" s="89"/>
      <c r="G410" s="89"/>
      <c r="H410" s="89"/>
      <c r="I410" s="89"/>
      <c r="J410" s="89"/>
      <c r="K410" s="89"/>
      <c r="L410" s="89"/>
      <c r="M410" s="89"/>
      <c r="N410" s="89"/>
      <c r="O410" s="89"/>
      <c r="P410" s="89"/>
      <c r="Q410" s="89"/>
      <c r="R410" s="89"/>
      <c r="S410" s="89"/>
      <c r="T410" s="89"/>
      <c r="U410" s="89"/>
      <c r="V410" s="89"/>
      <c r="W410" s="89"/>
      <c r="X410" s="337">
        <f t="shared" si="13"/>
        <v>0</v>
      </c>
      <c r="Y410" s="192">
        <f t="shared" si="11"/>
        <v>0</v>
      </c>
      <c r="Z410" s="337">
        <f t="shared" si="14"/>
        <v>0</v>
      </c>
    </row>
    <row r="411" spans="2:26" ht="14.25" hidden="1" outlineLevel="1">
      <c r="B411" s="437">
        <f t="shared" si="12"/>
        <v>52</v>
      </c>
      <c r="C411" s="255" t="s">
        <v>461</v>
      </c>
      <c r="D411" s="494"/>
      <c r="E411" s="494"/>
      <c r="F411" s="89"/>
      <c r="G411" s="89"/>
      <c r="H411" s="89"/>
      <c r="I411" s="89"/>
      <c r="J411" s="89"/>
      <c r="K411" s="89"/>
      <c r="L411" s="89"/>
      <c r="M411" s="89"/>
      <c r="N411" s="89"/>
      <c r="O411" s="89"/>
      <c r="P411" s="89"/>
      <c r="Q411" s="89"/>
      <c r="R411" s="89"/>
      <c r="S411" s="89"/>
      <c r="T411" s="89"/>
      <c r="U411" s="89"/>
      <c r="V411" s="89"/>
      <c r="W411" s="89"/>
      <c r="X411" s="337">
        <f t="shared" si="13"/>
        <v>0</v>
      </c>
      <c r="Y411" s="192">
        <f t="shared" si="11"/>
        <v>0</v>
      </c>
      <c r="Z411" s="337">
        <f t="shared" si="14"/>
        <v>0</v>
      </c>
    </row>
    <row r="412" spans="2:26" ht="14.25" hidden="1" outlineLevel="1">
      <c r="B412" s="437">
        <f t="shared" si="12"/>
        <v>53</v>
      </c>
      <c r="C412" s="255" t="s">
        <v>461</v>
      </c>
      <c r="D412" s="494"/>
      <c r="E412" s="494"/>
      <c r="F412" s="89"/>
      <c r="G412" s="89"/>
      <c r="H412" s="89"/>
      <c r="I412" s="89"/>
      <c r="J412" s="89"/>
      <c r="K412" s="89"/>
      <c r="L412" s="89"/>
      <c r="M412" s="89"/>
      <c r="N412" s="89"/>
      <c r="O412" s="89"/>
      <c r="P412" s="89"/>
      <c r="Q412" s="89"/>
      <c r="R412" s="89"/>
      <c r="S412" s="89"/>
      <c r="T412" s="89"/>
      <c r="U412" s="89"/>
      <c r="V412" s="89"/>
      <c r="W412" s="89"/>
      <c r="X412" s="337">
        <f t="shared" si="13"/>
        <v>0</v>
      </c>
      <c r="Y412" s="192">
        <f t="shared" si="11"/>
        <v>0</v>
      </c>
      <c r="Z412" s="337">
        <f t="shared" si="14"/>
        <v>0</v>
      </c>
    </row>
    <row r="413" spans="2:26" ht="14.25" hidden="1" outlineLevel="1">
      <c r="B413" s="437">
        <f t="shared" si="12"/>
        <v>54</v>
      </c>
      <c r="C413" s="255" t="s">
        <v>461</v>
      </c>
      <c r="D413" s="494"/>
      <c r="E413" s="494"/>
      <c r="F413" s="89"/>
      <c r="G413" s="89"/>
      <c r="H413" s="89"/>
      <c r="I413" s="89"/>
      <c r="J413" s="89"/>
      <c r="K413" s="89"/>
      <c r="L413" s="89"/>
      <c r="M413" s="89"/>
      <c r="N413" s="89"/>
      <c r="O413" s="89"/>
      <c r="P413" s="89"/>
      <c r="Q413" s="89"/>
      <c r="R413" s="89"/>
      <c r="S413" s="89"/>
      <c r="T413" s="89"/>
      <c r="U413" s="89"/>
      <c r="V413" s="89"/>
      <c r="W413" s="89"/>
      <c r="X413" s="337">
        <f t="shared" si="13"/>
        <v>0</v>
      </c>
      <c r="Y413" s="192">
        <f t="shared" si="11"/>
        <v>0</v>
      </c>
      <c r="Z413" s="337">
        <f t="shared" si="14"/>
        <v>0</v>
      </c>
    </row>
    <row r="414" spans="2:26" ht="14.25" hidden="1" outlineLevel="1">
      <c r="B414" s="437">
        <f t="shared" si="12"/>
        <v>55</v>
      </c>
      <c r="C414" s="255" t="s">
        <v>461</v>
      </c>
      <c r="D414" s="494"/>
      <c r="E414" s="494"/>
      <c r="F414" s="89"/>
      <c r="G414" s="89"/>
      <c r="H414" s="89"/>
      <c r="I414" s="89"/>
      <c r="J414" s="89"/>
      <c r="K414" s="89"/>
      <c r="L414" s="89"/>
      <c r="M414" s="89"/>
      <c r="N414" s="89"/>
      <c r="O414" s="89"/>
      <c r="P414" s="89"/>
      <c r="Q414" s="89"/>
      <c r="R414" s="89"/>
      <c r="S414" s="89"/>
      <c r="T414" s="89"/>
      <c r="U414" s="89"/>
      <c r="V414" s="89"/>
      <c r="W414" s="89"/>
      <c r="X414" s="337">
        <f t="shared" si="13"/>
        <v>0</v>
      </c>
      <c r="Y414" s="192">
        <f t="shared" si="11"/>
        <v>0</v>
      </c>
      <c r="Z414" s="337">
        <f t="shared" si="14"/>
        <v>0</v>
      </c>
    </row>
    <row r="415" spans="2:26" ht="14.25" hidden="1" outlineLevel="1">
      <c r="B415" s="437">
        <f t="shared" si="12"/>
        <v>56</v>
      </c>
      <c r="C415" s="255" t="s">
        <v>461</v>
      </c>
      <c r="D415" s="494"/>
      <c r="E415" s="494"/>
      <c r="F415" s="89"/>
      <c r="G415" s="89"/>
      <c r="H415" s="89"/>
      <c r="I415" s="89"/>
      <c r="J415" s="89"/>
      <c r="K415" s="89"/>
      <c r="L415" s="89"/>
      <c r="M415" s="89"/>
      <c r="N415" s="89"/>
      <c r="O415" s="89"/>
      <c r="P415" s="89"/>
      <c r="Q415" s="89"/>
      <c r="R415" s="89"/>
      <c r="S415" s="89"/>
      <c r="T415" s="89"/>
      <c r="U415" s="89"/>
      <c r="V415" s="89"/>
      <c r="W415" s="89"/>
      <c r="X415" s="337">
        <f t="shared" si="13"/>
        <v>0</v>
      </c>
      <c r="Y415" s="192">
        <f t="shared" si="11"/>
        <v>0</v>
      </c>
      <c r="Z415" s="337">
        <f t="shared" si="14"/>
        <v>0</v>
      </c>
    </row>
    <row r="416" spans="2:26" ht="14.25" hidden="1" outlineLevel="1">
      <c r="B416" s="437">
        <f t="shared" si="12"/>
        <v>57</v>
      </c>
      <c r="C416" s="255" t="s">
        <v>461</v>
      </c>
      <c r="D416" s="494"/>
      <c r="E416" s="494"/>
      <c r="F416" s="89"/>
      <c r="G416" s="89"/>
      <c r="H416" s="89"/>
      <c r="I416" s="89"/>
      <c r="J416" s="89"/>
      <c r="K416" s="89"/>
      <c r="L416" s="89"/>
      <c r="M416" s="89"/>
      <c r="N416" s="89"/>
      <c r="O416" s="89"/>
      <c r="P416" s="89"/>
      <c r="Q416" s="89"/>
      <c r="R416" s="89"/>
      <c r="S416" s="89"/>
      <c r="T416" s="89"/>
      <c r="U416" s="89"/>
      <c r="V416" s="89"/>
      <c r="W416" s="89"/>
      <c r="X416" s="337">
        <f t="shared" si="13"/>
        <v>0</v>
      </c>
      <c r="Y416" s="192">
        <f t="shared" si="11"/>
        <v>0</v>
      </c>
      <c r="Z416" s="337">
        <f t="shared" si="14"/>
        <v>0</v>
      </c>
    </row>
    <row r="417" spans="2:26" ht="14.25" hidden="1" outlineLevel="1">
      <c r="B417" s="437">
        <f t="shared" si="12"/>
        <v>58</v>
      </c>
      <c r="C417" s="255" t="s">
        <v>461</v>
      </c>
      <c r="D417" s="494"/>
      <c r="E417" s="494"/>
      <c r="F417" s="89"/>
      <c r="G417" s="89"/>
      <c r="H417" s="89"/>
      <c r="I417" s="89"/>
      <c r="J417" s="89"/>
      <c r="K417" s="89"/>
      <c r="L417" s="89"/>
      <c r="M417" s="89"/>
      <c r="N417" s="89"/>
      <c r="O417" s="89"/>
      <c r="P417" s="89"/>
      <c r="Q417" s="89"/>
      <c r="R417" s="89"/>
      <c r="S417" s="89"/>
      <c r="T417" s="89"/>
      <c r="U417" s="89"/>
      <c r="V417" s="89"/>
      <c r="W417" s="89"/>
      <c r="X417" s="337">
        <f t="shared" si="13"/>
        <v>0</v>
      </c>
      <c r="Y417" s="192">
        <f t="shared" si="11"/>
        <v>0</v>
      </c>
      <c r="Z417" s="337">
        <f t="shared" si="14"/>
        <v>0</v>
      </c>
    </row>
    <row r="418" spans="2:26" ht="14.25" hidden="1" outlineLevel="1">
      <c r="B418" s="437">
        <f t="shared" si="12"/>
        <v>59</v>
      </c>
      <c r="C418" s="255" t="s">
        <v>461</v>
      </c>
      <c r="D418" s="494"/>
      <c r="E418" s="494"/>
      <c r="F418" s="89"/>
      <c r="G418" s="89"/>
      <c r="H418" s="89"/>
      <c r="I418" s="89"/>
      <c r="J418" s="89"/>
      <c r="K418" s="89"/>
      <c r="L418" s="89"/>
      <c r="M418" s="89"/>
      <c r="N418" s="89"/>
      <c r="O418" s="89"/>
      <c r="P418" s="89"/>
      <c r="Q418" s="89"/>
      <c r="R418" s="89"/>
      <c r="S418" s="89"/>
      <c r="T418" s="89"/>
      <c r="U418" s="89"/>
      <c r="V418" s="89"/>
      <c r="W418" s="89"/>
      <c r="X418" s="337">
        <f t="shared" si="13"/>
        <v>0</v>
      </c>
      <c r="Y418" s="192">
        <f t="shared" si="11"/>
        <v>0</v>
      </c>
      <c r="Z418" s="337">
        <f t="shared" si="14"/>
        <v>0</v>
      </c>
    </row>
    <row r="419" spans="2:26" ht="14.25" hidden="1" outlineLevel="1">
      <c r="B419" s="437">
        <f t="shared" si="12"/>
        <v>60</v>
      </c>
      <c r="C419" s="255" t="s">
        <v>461</v>
      </c>
      <c r="D419" s="494"/>
      <c r="E419" s="494"/>
      <c r="F419" s="89"/>
      <c r="G419" s="89"/>
      <c r="H419" s="89"/>
      <c r="I419" s="89"/>
      <c r="J419" s="89"/>
      <c r="K419" s="89"/>
      <c r="L419" s="89"/>
      <c r="M419" s="89"/>
      <c r="N419" s="89"/>
      <c r="O419" s="89"/>
      <c r="P419" s="89"/>
      <c r="Q419" s="89"/>
      <c r="R419" s="89"/>
      <c r="S419" s="89"/>
      <c r="T419" s="89"/>
      <c r="U419" s="89"/>
      <c r="V419" s="89"/>
      <c r="W419" s="89"/>
      <c r="X419" s="337">
        <f t="shared" si="13"/>
        <v>0</v>
      </c>
      <c r="Y419" s="192">
        <f t="shared" si="11"/>
        <v>0</v>
      </c>
      <c r="Z419" s="337">
        <f t="shared" si="14"/>
        <v>0</v>
      </c>
    </row>
    <row r="420" spans="2:26" ht="14.25" hidden="1" outlineLevel="1">
      <c r="B420" s="437">
        <f t="shared" si="12"/>
        <v>61</v>
      </c>
      <c r="C420" s="255" t="s">
        <v>461</v>
      </c>
      <c r="D420" s="494"/>
      <c r="E420" s="494"/>
      <c r="F420" s="89"/>
      <c r="G420" s="89"/>
      <c r="H420" s="89"/>
      <c r="I420" s="89"/>
      <c r="J420" s="89"/>
      <c r="K420" s="89"/>
      <c r="L420" s="89"/>
      <c r="M420" s="89"/>
      <c r="N420" s="89"/>
      <c r="O420" s="89"/>
      <c r="P420" s="89"/>
      <c r="Q420" s="89"/>
      <c r="R420" s="89"/>
      <c r="S420" s="89"/>
      <c r="T420" s="89"/>
      <c r="U420" s="89"/>
      <c r="V420" s="89"/>
      <c r="W420" s="89"/>
      <c r="X420" s="337">
        <f t="shared" si="13"/>
        <v>0</v>
      </c>
      <c r="Y420" s="192">
        <f t="shared" si="11"/>
        <v>0</v>
      </c>
      <c r="Z420" s="337">
        <f t="shared" si="14"/>
        <v>0</v>
      </c>
    </row>
    <row r="421" spans="2:26" ht="14.25" hidden="1" outlineLevel="1">
      <c r="B421" s="437">
        <f t="shared" si="12"/>
        <v>62</v>
      </c>
      <c r="C421" s="255" t="s">
        <v>461</v>
      </c>
      <c r="D421" s="494"/>
      <c r="E421" s="494"/>
      <c r="F421" s="89"/>
      <c r="G421" s="89"/>
      <c r="H421" s="89"/>
      <c r="I421" s="89"/>
      <c r="J421" s="89"/>
      <c r="K421" s="89"/>
      <c r="L421" s="89"/>
      <c r="M421" s="89"/>
      <c r="N421" s="89"/>
      <c r="O421" s="89"/>
      <c r="P421" s="89"/>
      <c r="Q421" s="89"/>
      <c r="R421" s="89"/>
      <c r="S421" s="89"/>
      <c r="T421" s="89"/>
      <c r="U421" s="89"/>
      <c r="V421" s="89"/>
      <c r="W421" s="89"/>
      <c r="X421" s="337">
        <f t="shared" si="13"/>
        <v>0</v>
      </c>
      <c r="Y421" s="192">
        <f t="shared" si="11"/>
        <v>0</v>
      </c>
      <c r="Z421" s="337">
        <f t="shared" si="14"/>
        <v>0</v>
      </c>
    </row>
    <row r="422" spans="2:26" ht="14.25" hidden="1" outlineLevel="1">
      <c r="B422" s="437">
        <f t="shared" si="12"/>
        <v>63</v>
      </c>
      <c r="C422" s="255" t="s">
        <v>461</v>
      </c>
      <c r="D422" s="494"/>
      <c r="E422" s="494"/>
      <c r="F422" s="89"/>
      <c r="G422" s="89"/>
      <c r="H422" s="89"/>
      <c r="I422" s="89"/>
      <c r="J422" s="89"/>
      <c r="K422" s="89"/>
      <c r="L422" s="89"/>
      <c r="M422" s="89"/>
      <c r="N422" s="89"/>
      <c r="O422" s="89"/>
      <c r="P422" s="89"/>
      <c r="Q422" s="89"/>
      <c r="R422" s="89"/>
      <c r="S422" s="89"/>
      <c r="T422" s="89"/>
      <c r="U422" s="89"/>
      <c r="V422" s="89"/>
      <c r="W422" s="89"/>
      <c r="X422" s="337">
        <f t="shared" si="13"/>
        <v>0</v>
      </c>
      <c r="Y422" s="192">
        <f t="shared" si="11"/>
        <v>0</v>
      </c>
      <c r="Z422" s="337">
        <f t="shared" si="14"/>
        <v>0</v>
      </c>
    </row>
    <row r="423" spans="2:26" ht="14.25" hidden="1" outlineLevel="1">
      <c r="B423" s="437">
        <f t="shared" si="12"/>
        <v>64</v>
      </c>
      <c r="C423" s="255" t="s">
        <v>461</v>
      </c>
      <c r="D423" s="494"/>
      <c r="E423" s="494"/>
      <c r="F423" s="89"/>
      <c r="G423" s="89"/>
      <c r="H423" s="89"/>
      <c r="I423" s="89"/>
      <c r="J423" s="89"/>
      <c r="K423" s="89"/>
      <c r="L423" s="89"/>
      <c r="M423" s="89"/>
      <c r="N423" s="89"/>
      <c r="O423" s="89"/>
      <c r="P423" s="89"/>
      <c r="Q423" s="89"/>
      <c r="R423" s="89"/>
      <c r="S423" s="89"/>
      <c r="T423" s="89"/>
      <c r="U423" s="89"/>
      <c r="V423" s="89"/>
      <c r="W423" s="89"/>
      <c r="X423" s="337">
        <f t="shared" si="13"/>
        <v>0</v>
      </c>
      <c r="Y423" s="192">
        <f t="shared" si="11"/>
        <v>0</v>
      </c>
      <c r="Z423" s="337">
        <f t="shared" si="14"/>
        <v>0</v>
      </c>
    </row>
    <row r="424" spans="2:26" ht="14.25" hidden="1" outlineLevel="1">
      <c r="B424" s="437">
        <f t="shared" si="12"/>
        <v>65</v>
      </c>
      <c r="C424" s="255" t="s">
        <v>461</v>
      </c>
      <c r="D424" s="494"/>
      <c r="E424" s="494"/>
      <c r="F424" s="89"/>
      <c r="G424" s="89"/>
      <c r="H424" s="89"/>
      <c r="I424" s="89"/>
      <c r="J424" s="89"/>
      <c r="K424" s="89"/>
      <c r="L424" s="89"/>
      <c r="M424" s="89"/>
      <c r="N424" s="89"/>
      <c r="O424" s="89"/>
      <c r="P424" s="89"/>
      <c r="Q424" s="89"/>
      <c r="R424" s="89"/>
      <c r="S424" s="89"/>
      <c r="T424" s="89"/>
      <c r="U424" s="89"/>
      <c r="V424" s="89"/>
      <c r="W424" s="89"/>
      <c r="X424" s="337">
        <f t="shared" si="13"/>
        <v>0</v>
      </c>
      <c r="Y424" s="192">
        <f t="shared" si="11"/>
        <v>0</v>
      </c>
      <c r="Z424" s="337">
        <f t="shared" si="14"/>
        <v>0</v>
      </c>
    </row>
    <row r="425" spans="2:26" ht="14.25" hidden="1" outlineLevel="1">
      <c r="B425" s="437">
        <f t="shared" si="12"/>
        <v>66</v>
      </c>
      <c r="C425" s="255" t="s">
        <v>461</v>
      </c>
      <c r="D425" s="494"/>
      <c r="E425" s="494"/>
      <c r="F425" s="89"/>
      <c r="G425" s="89"/>
      <c r="H425" s="89"/>
      <c r="I425" s="89"/>
      <c r="J425" s="89"/>
      <c r="K425" s="89"/>
      <c r="L425" s="89"/>
      <c r="M425" s="89"/>
      <c r="N425" s="89"/>
      <c r="O425" s="89"/>
      <c r="P425" s="89"/>
      <c r="Q425" s="89"/>
      <c r="R425" s="89"/>
      <c r="S425" s="89"/>
      <c r="T425" s="89"/>
      <c r="U425" s="89"/>
      <c r="V425" s="89"/>
      <c r="W425" s="89"/>
      <c r="X425" s="337">
        <f t="shared" si="13"/>
        <v>0</v>
      </c>
      <c r="Y425" s="192">
        <f t="shared" ref="Y425:Y439" si="15">SUM(F425:I425)</f>
        <v>0</v>
      </c>
      <c r="Z425" s="337">
        <f t="shared" si="14"/>
        <v>0</v>
      </c>
    </row>
    <row r="426" spans="2:26" ht="14.25" hidden="1" outlineLevel="1">
      <c r="B426" s="437">
        <f t="shared" ref="B426:B439" si="16">1+B425</f>
        <v>67</v>
      </c>
      <c r="C426" s="255" t="s">
        <v>461</v>
      </c>
      <c r="D426" s="494"/>
      <c r="E426" s="494"/>
      <c r="F426" s="89"/>
      <c r="G426" s="89"/>
      <c r="H426" s="89"/>
      <c r="I426" s="89"/>
      <c r="J426" s="89"/>
      <c r="K426" s="89"/>
      <c r="L426" s="89"/>
      <c r="M426" s="89"/>
      <c r="N426" s="89"/>
      <c r="O426" s="89"/>
      <c r="P426" s="89"/>
      <c r="Q426" s="89"/>
      <c r="R426" s="89"/>
      <c r="S426" s="89"/>
      <c r="T426" s="89"/>
      <c r="U426" s="89"/>
      <c r="V426" s="89"/>
      <c r="W426" s="89"/>
      <c r="X426" s="337">
        <f t="shared" si="13"/>
        <v>0</v>
      </c>
      <c r="Y426" s="192">
        <f t="shared" si="15"/>
        <v>0</v>
      </c>
      <c r="Z426" s="337">
        <f t="shared" si="14"/>
        <v>0</v>
      </c>
    </row>
    <row r="427" spans="2:26" ht="14.25" hidden="1" outlineLevel="1">
      <c r="B427" s="437">
        <f t="shared" si="16"/>
        <v>68</v>
      </c>
      <c r="C427" s="255" t="s">
        <v>461</v>
      </c>
      <c r="D427" s="494"/>
      <c r="E427" s="494"/>
      <c r="F427" s="89"/>
      <c r="G427" s="89"/>
      <c r="H427" s="89"/>
      <c r="I427" s="89"/>
      <c r="J427" s="89"/>
      <c r="K427" s="89"/>
      <c r="L427" s="89"/>
      <c r="M427" s="89"/>
      <c r="N427" s="89"/>
      <c r="O427" s="89"/>
      <c r="P427" s="89"/>
      <c r="Q427" s="89"/>
      <c r="R427" s="89"/>
      <c r="S427" s="89"/>
      <c r="T427" s="89"/>
      <c r="U427" s="89"/>
      <c r="V427" s="89"/>
      <c r="W427" s="89"/>
      <c r="X427" s="337">
        <f t="shared" ref="X427:X439" si="17">E427</f>
        <v>0</v>
      </c>
      <c r="Y427" s="192">
        <f t="shared" si="15"/>
        <v>0</v>
      </c>
      <c r="Z427" s="337">
        <f t="shared" ref="Z427:Z439" si="18">J427+K427</f>
        <v>0</v>
      </c>
    </row>
    <row r="428" spans="2:26" ht="14.25" hidden="1" outlineLevel="1">
      <c r="B428" s="437">
        <f t="shared" si="16"/>
        <v>69</v>
      </c>
      <c r="C428" s="255" t="s">
        <v>461</v>
      </c>
      <c r="D428" s="494"/>
      <c r="E428" s="494"/>
      <c r="F428" s="89"/>
      <c r="G428" s="89"/>
      <c r="H428" s="89"/>
      <c r="I428" s="89"/>
      <c r="J428" s="89"/>
      <c r="K428" s="89"/>
      <c r="L428" s="89"/>
      <c r="M428" s="89"/>
      <c r="N428" s="89"/>
      <c r="O428" s="89"/>
      <c r="P428" s="89"/>
      <c r="Q428" s="89"/>
      <c r="R428" s="89"/>
      <c r="S428" s="89"/>
      <c r="T428" s="89"/>
      <c r="U428" s="89"/>
      <c r="V428" s="89"/>
      <c r="W428" s="89"/>
      <c r="X428" s="337">
        <f t="shared" si="17"/>
        <v>0</v>
      </c>
      <c r="Y428" s="192">
        <f t="shared" si="15"/>
        <v>0</v>
      </c>
      <c r="Z428" s="337">
        <f t="shared" si="18"/>
        <v>0</v>
      </c>
    </row>
    <row r="429" spans="2:26" ht="14.25" hidden="1" outlineLevel="1">
      <c r="B429" s="437">
        <f t="shared" si="16"/>
        <v>70</v>
      </c>
      <c r="C429" s="255" t="s">
        <v>461</v>
      </c>
      <c r="D429" s="494"/>
      <c r="E429" s="494"/>
      <c r="F429" s="89"/>
      <c r="G429" s="89"/>
      <c r="H429" s="89"/>
      <c r="I429" s="89"/>
      <c r="J429" s="89"/>
      <c r="K429" s="89"/>
      <c r="L429" s="89"/>
      <c r="M429" s="89"/>
      <c r="N429" s="89"/>
      <c r="O429" s="89"/>
      <c r="P429" s="89"/>
      <c r="Q429" s="89"/>
      <c r="R429" s="89"/>
      <c r="S429" s="89"/>
      <c r="T429" s="89"/>
      <c r="U429" s="89"/>
      <c r="V429" s="89"/>
      <c r="W429" s="89"/>
      <c r="X429" s="337">
        <f t="shared" si="17"/>
        <v>0</v>
      </c>
      <c r="Y429" s="192">
        <f t="shared" si="15"/>
        <v>0</v>
      </c>
      <c r="Z429" s="337">
        <f t="shared" si="18"/>
        <v>0</v>
      </c>
    </row>
    <row r="430" spans="2:26" ht="14.25" hidden="1" outlineLevel="1">
      <c r="B430" s="437">
        <f t="shared" si="16"/>
        <v>71</v>
      </c>
      <c r="C430" s="255" t="s">
        <v>461</v>
      </c>
      <c r="D430" s="494"/>
      <c r="E430" s="494"/>
      <c r="F430" s="89"/>
      <c r="G430" s="89"/>
      <c r="H430" s="89"/>
      <c r="I430" s="89"/>
      <c r="J430" s="89"/>
      <c r="K430" s="89"/>
      <c r="L430" s="89"/>
      <c r="M430" s="89"/>
      <c r="N430" s="89"/>
      <c r="O430" s="89"/>
      <c r="P430" s="89"/>
      <c r="Q430" s="89"/>
      <c r="R430" s="89"/>
      <c r="S430" s="89"/>
      <c r="T430" s="89"/>
      <c r="U430" s="89"/>
      <c r="V430" s="89"/>
      <c r="W430" s="89"/>
      <c r="X430" s="337">
        <f t="shared" si="17"/>
        <v>0</v>
      </c>
      <c r="Y430" s="192">
        <f t="shared" si="15"/>
        <v>0</v>
      </c>
      <c r="Z430" s="337">
        <f t="shared" si="18"/>
        <v>0</v>
      </c>
    </row>
    <row r="431" spans="2:26" ht="14.25" hidden="1" outlineLevel="1">
      <c r="B431" s="437">
        <f t="shared" si="16"/>
        <v>72</v>
      </c>
      <c r="C431" s="255" t="s">
        <v>461</v>
      </c>
      <c r="D431" s="494"/>
      <c r="E431" s="494"/>
      <c r="F431" s="89"/>
      <c r="G431" s="89"/>
      <c r="H431" s="89"/>
      <c r="I431" s="89"/>
      <c r="J431" s="89"/>
      <c r="K431" s="89"/>
      <c r="L431" s="89"/>
      <c r="M431" s="89"/>
      <c r="N431" s="89"/>
      <c r="O431" s="89"/>
      <c r="P431" s="89"/>
      <c r="Q431" s="89"/>
      <c r="R431" s="89"/>
      <c r="S431" s="89"/>
      <c r="T431" s="89"/>
      <c r="U431" s="89"/>
      <c r="V431" s="89"/>
      <c r="W431" s="89"/>
      <c r="X431" s="337">
        <f t="shared" si="17"/>
        <v>0</v>
      </c>
      <c r="Y431" s="192">
        <f t="shared" si="15"/>
        <v>0</v>
      </c>
      <c r="Z431" s="337">
        <f t="shared" si="18"/>
        <v>0</v>
      </c>
    </row>
    <row r="432" spans="2:26" ht="14.25" hidden="1" outlineLevel="1">
      <c r="B432" s="437">
        <f t="shared" si="16"/>
        <v>73</v>
      </c>
      <c r="C432" s="255" t="s">
        <v>461</v>
      </c>
      <c r="D432" s="494"/>
      <c r="E432" s="494"/>
      <c r="F432" s="89"/>
      <c r="G432" s="89"/>
      <c r="H432" s="89"/>
      <c r="I432" s="89"/>
      <c r="J432" s="89"/>
      <c r="K432" s="89"/>
      <c r="L432" s="89"/>
      <c r="M432" s="89"/>
      <c r="N432" s="89"/>
      <c r="O432" s="89"/>
      <c r="P432" s="89"/>
      <c r="Q432" s="89"/>
      <c r="R432" s="89"/>
      <c r="S432" s="89"/>
      <c r="T432" s="89"/>
      <c r="U432" s="89"/>
      <c r="V432" s="89"/>
      <c r="W432" s="89"/>
      <c r="X432" s="337">
        <f t="shared" si="17"/>
        <v>0</v>
      </c>
      <c r="Y432" s="192">
        <f t="shared" si="15"/>
        <v>0</v>
      </c>
      <c r="Z432" s="337">
        <f t="shared" si="18"/>
        <v>0</v>
      </c>
    </row>
    <row r="433" spans="2:46" ht="14.25" hidden="1" outlineLevel="1">
      <c r="B433" s="437">
        <f t="shared" si="16"/>
        <v>74</v>
      </c>
      <c r="C433" s="255" t="s">
        <v>461</v>
      </c>
      <c r="D433" s="494"/>
      <c r="E433" s="494"/>
      <c r="F433" s="89"/>
      <c r="G433" s="89"/>
      <c r="H433" s="89"/>
      <c r="I433" s="89"/>
      <c r="J433" s="89"/>
      <c r="K433" s="89"/>
      <c r="L433" s="89"/>
      <c r="M433" s="89"/>
      <c r="N433" s="89"/>
      <c r="O433" s="89"/>
      <c r="P433" s="89"/>
      <c r="Q433" s="89"/>
      <c r="R433" s="89"/>
      <c r="S433" s="89"/>
      <c r="T433" s="89"/>
      <c r="U433" s="89"/>
      <c r="V433" s="89"/>
      <c r="W433" s="89"/>
      <c r="X433" s="337">
        <f t="shared" si="17"/>
        <v>0</v>
      </c>
      <c r="Y433" s="192">
        <f t="shared" si="15"/>
        <v>0</v>
      </c>
      <c r="Z433" s="337">
        <f t="shared" si="18"/>
        <v>0</v>
      </c>
    </row>
    <row r="434" spans="2:46" ht="14.25" hidden="1" outlineLevel="1">
      <c r="B434" s="437">
        <f t="shared" si="16"/>
        <v>75</v>
      </c>
      <c r="C434" s="255" t="s">
        <v>461</v>
      </c>
      <c r="D434" s="494"/>
      <c r="E434" s="494"/>
      <c r="F434" s="89"/>
      <c r="G434" s="89"/>
      <c r="H434" s="89"/>
      <c r="I434" s="89"/>
      <c r="J434" s="89"/>
      <c r="K434" s="89"/>
      <c r="L434" s="89"/>
      <c r="M434" s="89"/>
      <c r="N434" s="89"/>
      <c r="O434" s="89"/>
      <c r="P434" s="89"/>
      <c r="Q434" s="89"/>
      <c r="R434" s="89"/>
      <c r="S434" s="89"/>
      <c r="T434" s="89"/>
      <c r="U434" s="89"/>
      <c r="V434" s="89"/>
      <c r="W434" s="89"/>
      <c r="X434" s="337">
        <f t="shared" si="17"/>
        <v>0</v>
      </c>
      <c r="Y434" s="192">
        <f t="shared" si="15"/>
        <v>0</v>
      </c>
      <c r="Z434" s="337">
        <f t="shared" si="18"/>
        <v>0</v>
      </c>
    </row>
    <row r="435" spans="2:46" ht="14.25" hidden="1" outlineLevel="1">
      <c r="B435" s="437">
        <f t="shared" si="16"/>
        <v>76</v>
      </c>
      <c r="C435" s="255" t="s">
        <v>461</v>
      </c>
      <c r="D435" s="494"/>
      <c r="E435" s="494"/>
      <c r="F435" s="89"/>
      <c r="G435" s="89"/>
      <c r="H435" s="89"/>
      <c r="I435" s="89"/>
      <c r="J435" s="89"/>
      <c r="K435" s="89"/>
      <c r="L435" s="89"/>
      <c r="M435" s="89"/>
      <c r="N435" s="89"/>
      <c r="O435" s="89"/>
      <c r="P435" s="89"/>
      <c r="Q435" s="89"/>
      <c r="R435" s="89"/>
      <c r="S435" s="89"/>
      <c r="T435" s="89"/>
      <c r="U435" s="89"/>
      <c r="V435" s="89"/>
      <c r="W435" s="89"/>
      <c r="X435" s="337">
        <f t="shared" si="17"/>
        <v>0</v>
      </c>
      <c r="Y435" s="192">
        <f t="shared" si="15"/>
        <v>0</v>
      </c>
      <c r="Z435" s="337">
        <f t="shared" si="18"/>
        <v>0</v>
      </c>
    </row>
    <row r="436" spans="2:46" ht="14.25" hidden="1" outlineLevel="1">
      <c r="B436" s="437">
        <f t="shared" si="16"/>
        <v>77</v>
      </c>
      <c r="C436" s="255" t="s">
        <v>461</v>
      </c>
      <c r="D436" s="494"/>
      <c r="E436" s="494"/>
      <c r="F436" s="89"/>
      <c r="G436" s="89"/>
      <c r="H436" s="89"/>
      <c r="I436" s="89"/>
      <c r="J436" s="89"/>
      <c r="K436" s="89"/>
      <c r="L436" s="89"/>
      <c r="M436" s="89"/>
      <c r="N436" s="89"/>
      <c r="O436" s="89"/>
      <c r="P436" s="89"/>
      <c r="Q436" s="89"/>
      <c r="R436" s="89"/>
      <c r="S436" s="89"/>
      <c r="T436" s="89"/>
      <c r="U436" s="89"/>
      <c r="V436" s="89"/>
      <c r="W436" s="89"/>
      <c r="X436" s="337">
        <f t="shared" si="17"/>
        <v>0</v>
      </c>
      <c r="Y436" s="192">
        <f t="shared" si="15"/>
        <v>0</v>
      </c>
      <c r="Z436" s="337">
        <f t="shared" si="18"/>
        <v>0</v>
      </c>
    </row>
    <row r="437" spans="2:46" ht="14.25" hidden="1" outlineLevel="1">
      <c r="B437" s="437">
        <f t="shared" si="16"/>
        <v>78</v>
      </c>
      <c r="C437" s="255" t="s">
        <v>461</v>
      </c>
      <c r="D437" s="494"/>
      <c r="E437" s="494"/>
      <c r="F437" s="89"/>
      <c r="G437" s="89"/>
      <c r="H437" s="89"/>
      <c r="I437" s="89"/>
      <c r="J437" s="89"/>
      <c r="K437" s="89"/>
      <c r="L437" s="89"/>
      <c r="M437" s="89"/>
      <c r="N437" s="89"/>
      <c r="O437" s="89"/>
      <c r="P437" s="89"/>
      <c r="Q437" s="89"/>
      <c r="R437" s="89"/>
      <c r="S437" s="89"/>
      <c r="T437" s="89"/>
      <c r="U437" s="89"/>
      <c r="V437" s="89"/>
      <c r="W437" s="89"/>
      <c r="X437" s="337">
        <f t="shared" si="17"/>
        <v>0</v>
      </c>
      <c r="Y437" s="192">
        <f t="shared" si="15"/>
        <v>0</v>
      </c>
      <c r="Z437" s="337">
        <f t="shared" si="18"/>
        <v>0</v>
      </c>
    </row>
    <row r="438" spans="2:46" ht="14.25" hidden="1" outlineLevel="1">
      <c r="B438" s="437">
        <f t="shared" si="16"/>
        <v>79</v>
      </c>
      <c r="C438" s="255" t="s">
        <v>461</v>
      </c>
      <c r="D438" s="494"/>
      <c r="E438" s="494"/>
      <c r="F438" s="89"/>
      <c r="G438" s="89"/>
      <c r="H438" s="89"/>
      <c r="I438" s="89"/>
      <c r="J438" s="89"/>
      <c r="K438" s="89"/>
      <c r="L438" s="89"/>
      <c r="M438" s="89"/>
      <c r="N438" s="89"/>
      <c r="O438" s="89"/>
      <c r="P438" s="89"/>
      <c r="Q438" s="89"/>
      <c r="R438" s="89"/>
      <c r="S438" s="89"/>
      <c r="T438" s="89"/>
      <c r="U438" s="89"/>
      <c r="V438" s="89"/>
      <c r="W438" s="89"/>
      <c r="X438" s="337">
        <f t="shared" si="17"/>
        <v>0</v>
      </c>
      <c r="Y438" s="192">
        <f t="shared" si="15"/>
        <v>0</v>
      </c>
      <c r="Z438" s="337">
        <f t="shared" si="18"/>
        <v>0</v>
      </c>
    </row>
    <row r="439" spans="2:46" ht="14.25" collapsed="1">
      <c r="B439" s="437">
        <f t="shared" si="16"/>
        <v>80</v>
      </c>
      <c r="C439" s="255" t="s">
        <v>461</v>
      </c>
      <c r="D439" s="494"/>
      <c r="E439" s="494"/>
      <c r="F439" s="89"/>
      <c r="G439" s="89"/>
      <c r="H439" s="89"/>
      <c r="I439" s="89"/>
      <c r="J439" s="89"/>
      <c r="K439" s="89"/>
      <c r="L439" s="89"/>
      <c r="M439" s="89"/>
      <c r="N439" s="89"/>
      <c r="O439" s="89"/>
      <c r="P439" s="89"/>
      <c r="Q439" s="89"/>
      <c r="R439" s="89"/>
      <c r="S439" s="89"/>
      <c r="T439" s="89"/>
      <c r="U439" s="89"/>
      <c r="V439" s="89"/>
      <c r="W439" s="89"/>
      <c r="X439" s="337">
        <f t="shared" si="17"/>
        <v>0</v>
      </c>
      <c r="Y439" s="192">
        <f t="shared" si="15"/>
        <v>0</v>
      </c>
      <c r="Z439" s="337">
        <f t="shared" si="18"/>
        <v>0</v>
      </c>
    </row>
    <row r="440" spans="2:46" ht="12">
      <c r="B440" s="251"/>
      <c r="C440" s="488"/>
    </row>
    <row r="441" spans="2:46" ht="12">
      <c r="B441" s="251"/>
      <c r="C441" s="251" t="s">
        <v>998</v>
      </c>
    </row>
    <row r="442" spans="2:46" ht="12">
      <c r="B442" s="251"/>
      <c r="C442" s="488"/>
    </row>
    <row r="443" spans="2:46" ht="15.75">
      <c r="C443" s="489" t="s">
        <v>1039</v>
      </c>
      <c r="D443" s="452"/>
      <c r="E443" s="452"/>
      <c r="F443" s="452"/>
      <c r="G443" s="453"/>
    </row>
    <row r="444" spans="2:46" ht="12">
      <c r="C444" s="251">
        <v>1</v>
      </c>
      <c r="D444">
        <f>C444+1</f>
        <v>2</v>
      </c>
      <c r="E444">
        <f t="shared" ref="E444:AT444" si="19">D444+1</f>
        <v>3</v>
      </c>
      <c r="F444">
        <f t="shared" si="19"/>
        <v>4</v>
      </c>
      <c r="G444">
        <f t="shared" si="19"/>
        <v>5</v>
      </c>
      <c r="H444">
        <f t="shared" si="19"/>
        <v>6</v>
      </c>
      <c r="I444">
        <f t="shared" si="19"/>
        <v>7</v>
      </c>
      <c r="J444">
        <f t="shared" si="19"/>
        <v>8</v>
      </c>
      <c r="K444">
        <f t="shared" si="19"/>
        <v>9</v>
      </c>
      <c r="L444">
        <f t="shared" si="19"/>
        <v>10</v>
      </c>
      <c r="M444">
        <f t="shared" si="19"/>
        <v>11</v>
      </c>
      <c r="N444">
        <f t="shared" si="19"/>
        <v>12</v>
      </c>
      <c r="O444">
        <f t="shared" si="19"/>
        <v>13</v>
      </c>
      <c r="P444">
        <f t="shared" si="19"/>
        <v>14</v>
      </c>
      <c r="Q444">
        <f t="shared" si="19"/>
        <v>15</v>
      </c>
      <c r="R444">
        <f t="shared" si="19"/>
        <v>16</v>
      </c>
      <c r="S444">
        <f t="shared" si="19"/>
        <v>17</v>
      </c>
      <c r="T444">
        <f t="shared" si="19"/>
        <v>18</v>
      </c>
      <c r="U444">
        <f t="shared" si="19"/>
        <v>19</v>
      </c>
      <c r="V444">
        <f t="shared" si="19"/>
        <v>20</v>
      </c>
      <c r="W444">
        <f t="shared" si="19"/>
        <v>21</v>
      </c>
      <c r="X444">
        <f t="shared" si="19"/>
        <v>22</v>
      </c>
      <c r="Y444">
        <f t="shared" si="19"/>
        <v>23</v>
      </c>
      <c r="Z444">
        <f t="shared" si="19"/>
        <v>24</v>
      </c>
      <c r="AA444">
        <f t="shared" si="19"/>
        <v>25</v>
      </c>
      <c r="AB444">
        <f t="shared" si="19"/>
        <v>26</v>
      </c>
      <c r="AC444">
        <f t="shared" si="19"/>
        <v>27</v>
      </c>
      <c r="AD444">
        <f t="shared" si="19"/>
        <v>28</v>
      </c>
      <c r="AE444">
        <f t="shared" si="19"/>
        <v>29</v>
      </c>
      <c r="AF444">
        <f t="shared" si="19"/>
        <v>30</v>
      </c>
      <c r="AG444">
        <f t="shared" si="19"/>
        <v>31</v>
      </c>
      <c r="AH444">
        <f t="shared" si="19"/>
        <v>32</v>
      </c>
      <c r="AI444">
        <f t="shared" si="19"/>
        <v>33</v>
      </c>
      <c r="AJ444">
        <f t="shared" si="19"/>
        <v>34</v>
      </c>
      <c r="AK444">
        <f t="shared" si="19"/>
        <v>35</v>
      </c>
      <c r="AL444">
        <f t="shared" si="19"/>
        <v>36</v>
      </c>
      <c r="AM444">
        <f t="shared" si="19"/>
        <v>37</v>
      </c>
      <c r="AN444">
        <f t="shared" si="19"/>
        <v>38</v>
      </c>
      <c r="AO444">
        <f t="shared" si="19"/>
        <v>39</v>
      </c>
      <c r="AP444">
        <f t="shared" si="19"/>
        <v>40</v>
      </c>
      <c r="AQ444">
        <f t="shared" si="19"/>
        <v>41</v>
      </c>
      <c r="AR444">
        <f t="shared" si="19"/>
        <v>42</v>
      </c>
      <c r="AS444">
        <f t="shared" si="19"/>
        <v>43</v>
      </c>
      <c r="AT444">
        <f t="shared" si="19"/>
        <v>44</v>
      </c>
    </row>
    <row r="445" spans="2:46" ht="36">
      <c r="B445" s="251"/>
      <c r="C445" s="266" t="s">
        <v>1043</v>
      </c>
      <c r="D445" s="499" t="s">
        <v>1069</v>
      </c>
      <c r="E445" s="500" t="s">
        <v>1044</v>
      </c>
      <c r="F445" s="553" t="s">
        <v>1067</v>
      </c>
      <c r="G445" s="554"/>
      <c r="H445" s="554"/>
      <c r="I445" s="555"/>
      <c r="J445" s="564" t="s">
        <v>1046</v>
      </c>
      <c r="K445" s="564"/>
      <c r="L445" s="501" t="s">
        <v>1047</v>
      </c>
      <c r="M445" s="502" t="s">
        <v>1048</v>
      </c>
      <c r="N445" s="553" t="s">
        <v>1049</v>
      </c>
      <c r="O445" s="554"/>
      <c r="P445" s="554"/>
      <c r="Q445" s="554"/>
      <c r="R445" s="554"/>
      <c r="S445" s="554"/>
      <c r="T445" s="554"/>
      <c r="U445" s="555"/>
      <c r="V445" s="503" t="s">
        <v>1050</v>
      </c>
      <c r="W445" s="503"/>
      <c r="X445" s="503" t="s">
        <v>1070</v>
      </c>
      <c r="Y445" s="503" t="s">
        <v>1044</v>
      </c>
      <c r="Z445" s="564" t="s">
        <v>1067</v>
      </c>
      <c r="AA445" s="564"/>
      <c r="AB445" s="564"/>
      <c r="AC445" s="564"/>
      <c r="AD445" s="565" t="s">
        <v>1046</v>
      </c>
      <c r="AE445" s="565"/>
      <c r="AF445" s="501" t="s">
        <v>1047</v>
      </c>
      <c r="AG445" s="502" t="s">
        <v>1078</v>
      </c>
      <c r="AH445" s="553" t="s">
        <v>1049</v>
      </c>
      <c r="AI445" s="554"/>
      <c r="AJ445" s="554"/>
      <c r="AK445" s="554"/>
      <c r="AL445" s="554"/>
      <c r="AM445" s="554"/>
      <c r="AN445" s="554"/>
      <c r="AO445" s="555"/>
      <c r="AP445" s="500" t="s">
        <v>1050</v>
      </c>
      <c r="AQ445" s="500"/>
      <c r="AR445" s="566" t="s">
        <v>1074</v>
      </c>
      <c r="AS445" s="566"/>
      <c r="AT445" s="566"/>
    </row>
    <row r="446" spans="2:46" ht="48">
      <c r="B446" s="251"/>
      <c r="C446" s="430" t="s">
        <v>461</v>
      </c>
      <c r="D446" s="480" t="s">
        <v>1071</v>
      </c>
      <c r="E446" s="480" t="s">
        <v>1044</v>
      </c>
      <c r="F446" s="480" t="s">
        <v>1051</v>
      </c>
      <c r="G446" s="480" t="s">
        <v>1052</v>
      </c>
      <c r="H446" s="480" t="s">
        <v>1053</v>
      </c>
      <c r="I446" s="493" t="s">
        <v>1054</v>
      </c>
      <c r="J446" s="430" t="s">
        <v>1046</v>
      </c>
      <c r="K446" s="430" t="s">
        <v>1055</v>
      </c>
      <c r="L446" s="480" t="s">
        <v>739</v>
      </c>
      <c r="M446" s="480" t="s">
        <v>1056</v>
      </c>
      <c r="N446" s="480" t="s">
        <v>1057</v>
      </c>
      <c r="O446" s="480" t="s">
        <v>1058</v>
      </c>
      <c r="P446" s="480" t="s">
        <v>1059</v>
      </c>
      <c r="Q446" s="480" t="s">
        <v>1060</v>
      </c>
      <c r="R446" s="480" t="s">
        <v>1061</v>
      </c>
      <c r="S446" s="480" t="s">
        <v>1062</v>
      </c>
      <c r="T446" s="480" t="s">
        <v>1063</v>
      </c>
      <c r="U446" s="480" t="s">
        <v>1064</v>
      </c>
      <c r="V446" s="480" t="s">
        <v>1065</v>
      </c>
      <c r="W446" s="480" t="s">
        <v>1066</v>
      </c>
      <c r="X446" s="480" t="s">
        <v>1072</v>
      </c>
      <c r="Y446" s="480" t="s">
        <v>1044</v>
      </c>
      <c r="Z446" s="480" t="s">
        <v>1051</v>
      </c>
      <c r="AA446" s="480" t="s">
        <v>1052</v>
      </c>
      <c r="AB446" s="480" t="s">
        <v>1053</v>
      </c>
      <c r="AC446" s="504" t="s">
        <v>1054</v>
      </c>
      <c r="AD446" s="430" t="s">
        <v>1046</v>
      </c>
      <c r="AE446" s="430" t="s">
        <v>1055</v>
      </c>
      <c r="AF446" s="480" t="s">
        <v>739</v>
      </c>
      <c r="AG446" s="480" t="s">
        <v>1056</v>
      </c>
      <c r="AH446" s="480" t="s">
        <v>1057</v>
      </c>
      <c r="AI446" s="480" t="s">
        <v>1058</v>
      </c>
      <c r="AJ446" s="480" t="s">
        <v>1059</v>
      </c>
      <c r="AK446" s="480" t="s">
        <v>1060</v>
      </c>
      <c r="AL446" s="480" t="s">
        <v>1061</v>
      </c>
      <c r="AM446" s="480" t="s">
        <v>1062</v>
      </c>
      <c r="AN446" s="480" t="s">
        <v>1063</v>
      </c>
      <c r="AO446" s="480" t="s">
        <v>1064</v>
      </c>
      <c r="AP446" s="480" t="s">
        <v>1065</v>
      </c>
      <c r="AQ446" s="480" t="s">
        <v>1066</v>
      </c>
      <c r="AR446" s="505" t="s">
        <v>1075</v>
      </c>
      <c r="AS446" s="505" t="s">
        <v>1076</v>
      </c>
      <c r="AT446" s="505" t="s">
        <v>1077</v>
      </c>
    </row>
    <row r="447" spans="2:46" ht="14.25">
      <c r="B447" s="437">
        <v>1</v>
      </c>
      <c r="C447" s="255" t="s">
        <v>180</v>
      </c>
      <c r="D447" s="494">
        <v>328.44</v>
      </c>
      <c r="E447" s="495">
        <v>131</v>
      </c>
      <c r="F447" s="483">
        <v>18</v>
      </c>
      <c r="G447" s="483">
        <v>3</v>
      </c>
      <c r="H447" s="483">
        <v>1</v>
      </c>
      <c r="I447" s="483">
        <v>15</v>
      </c>
      <c r="J447" s="487">
        <v>0</v>
      </c>
      <c r="K447" s="487">
        <v>159</v>
      </c>
      <c r="L447" s="89"/>
      <c r="M447" s="89"/>
      <c r="N447" s="89"/>
      <c r="O447" s="89"/>
      <c r="P447" s="89"/>
      <c r="Q447" s="89"/>
      <c r="R447" s="89"/>
      <c r="S447" s="89"/>
      <c r="T447" s="89"/>
      <c r="U447" s="89"/>
      <c r="V447" s="89"/>
      <c r="W447" s="89"/>
      <c r="X447" s="494"/>
      <c r="Y447" s="494"/>
      <c r="Z447" s="89"/>
      <c r="AA447" s="89"/>
      <c r="AB447" s="89"/>
      <c r="AC447" s="89"/>
      <c r="AD447" s="447"/>
      <c r="AE447" s="447"/>
      <c r="AF447" s="89"/>
      <c r="AG447" s="89"/>
      <c r="AH447" s="89"/>
      <c r="AI447" s="89"/>
      <c r="AJ447" s="89"/>
      <c r="AK447" s="89"/>
      <c r="AL447" s="89"/>
      <c r="AM447" s="89"/>
      <c r="AN447" s="89"/>
      <c r="AO447" s="89"/>
      <c r="AP447" s="89"/>
      <c r="AQ447" s="89"/>
      <c r="AR447" s="337">
        <f>IFERROR(E447,"")</f>
        <v>131</v>
      </c>
      <c r="AS447" s="192">
        <f>SUM(F447:I447)</f>
        <v>37</v>
      </c>
      <c r="AT447" s="337">
        <f>SUM(J447:K447)</f>
        <v>159</v>
      </c>
    </row>
    <row r="448" spans="2:46" ht="14.25">
      <c r="B448" s="437">
        <f>1+B447</f>
        <v>2</v>
      </c>
      <c r="C448" s="255" t="s">
        <v>182</v>
      </c>
      <c r="D448" s="494">
        <v>367.29</v>
      </c>
      <c r="E448" s="495">
        <v>187</v>
      </c>
      <c r="F448" s="483">
        <v>15</v>
      </c>
      <c r="G448" s="483">
        <v>5</v>
      </c>
      <c r="H448" s="483">
        <v>1</v>
      </c>
      <c r="I448" s="483">
        <v>19</v>
      </c>
      <c r="J448" s="483">
        <v>138</v>
      </c>
      <c r="K448" s="483">
        <v>0</v>
      </c>
      <c r="L448" s="89"/>
      <c r="M448" s="89"/>
      <c r="N448" s="89"/>
      <c r="O448" s="89"/>
      <c r="P448" s="89"/>
      <c r="Q448" s="89"/>
      <c r="R448" s="89"/>
      <c r="S448" s="89"/>
      <c r="T448" s="89"/>
      <c r="U448" s="89"/>
      <c r="V448" s="89"/>
      <c r="W448" s="89"/>
      <c r="X448" s="494"/>
      <c r="Y448" s="494"/>
      <c r="Z448" s="89"/>
      <c r="AA448" s="89"/>
      <c r="AB448" s="89"/>
      <c r="AC448" s="89"/>
      <c r="AD448" s="89"/>
      <c r="AE448" s="89"/>
      <c r="AF448" s="89"/>
      <c r="AG448" s="89"/>
      <c r="AH448" s="89"/>
      <c r="AI448" s="89"/>
      <c r="AJ448" s="89"/>
      <c r="AK448" s="89"/>
      <c r="AL448" s="89"/>
      <c r="AM448" s="89"/>
      <c r="AN448" s="89"/>
      <c r="AO448" s="89"/>
      <c r="AP448" s="89"/>
      <c r="AQ448" s="89"/>
      <c r="AR448" s="337">
        <f>IFERROR(E448,"")</f>
        <v>187</v>
      </c>
      <c r="AS448" s="192">
        <f t="shared" ref="AS448:AS511" si="20">SUM(F448:I448)</f>
        <v>40</v>
      </c>
      <c r="AT448" s="337">
        <f t="shared" ref="AT448:AT511" si="21">SUM(J448:K448)</f>
        <v>138</v>
      </c>
    </row>
    <row r="449" spans="2:46" ht="14.25">
      <c r="B449" s="437">
        <f t="shared" ref="B449:B512" si="22">1+B448</f>
        <v>3</v>
      </c>
      <c r="C449" s="255" t="s">
        <v>184</v>
      </c>
      <c r="D449" s="494">
        <v>421.32</v>
      </c>
      <c r="E449" s="495">
        <v>170</v>
      </c>
      <c r="F449" s="483">
        <v>11</v>
      </c>
      <c r="G449" s="483">
        <v>3</v>
      </c>
      <c r="H449" s="483">
        <v>1</v>
      </c>
      <c r="I449" s="483">
        <v>18</v>
      </c>
      <c r="J449" s="483">
        <v>180</v>
      </c>
      <c r="K449" s="483">
        <v>0</v>
      </c>
      <c r="L449" s="89"/>
      <c r="M449" s="89"/>
      <c r="N449" s="89"/>
      <c r="O449" s="89"/>
      <c r="P449" s="89"/>
      <c r="Q449" s="89"/>
      <c r="R449" s="89"/>
      <c r="S449" s="89"/>
      <c r="T449" s="89"/>
      <c r="U449" s="89"/>
      <c r="V449" s="89"/>
      <c r="W449" s="89"/>
      <c r="X449" s="494"/>
      <c r="Y449" s="494"/>
      <c r="Z449" s="89"/>
      <c r="AA449" s="89"/>
      <c r="AB449" s="89"/>
      <c r="AC449" s="89"/>
      <c r="AD449" s="89"/>
      <c r="AE449" s="89"/>
      <c r="AF449" s="89"/>
      <c r="AG449" s="89"/>
      <c r="AH449" s="89"/>
      <c r="AI449" s="89"/>
      <c r="AJ449" s="89"/>
      <c r="AK449" s="89"/>
      <c r="AL449" s="89"/>
      <c r="AM449" s="89"/>
      <c r="AN449" s="89"/>
      <c r="AO449" s="89"/>
      <c r="AP449" s="89"/>
      <c r="AQ449" s="89"/>
      <c r="AR449" s="337">
        <f>IFERROR(E449,"")</f>
        <v>170</v>
      </c>
      <c r="AS449" s="192">
        <f t="shared" si="20"/>
        <v>33</v>
      </c>
      <c r="AT449" s="337">
        <f t="shared" si="21"/>
        <v>180</v>
      </c>
    </row>
    <row r="450" spans="2:46" ht="14.25" hidden="1">
      <c r="B450" s="437">
        <f t="shared" si="22"/>
        <v>4</v>
      </c>
      <c r="C450" s="255" t="s">
        <v>461</v>
      </c>
      <c r="D450" s="494"/>
      <c r="E450" s="494"/>
      <c r="F450" s="89"/>
      <c r="G450" s="89"/>
      <c r="H450" s="89"/>
      <c r="I450" s="89"/>
      <c r="J450" s="89"/>
      <c r="K450" s="89"/>
      <c r="L450" s="89"/>
      <c r="M450" s="89"/>
      <c r="N450" s="89"/>
      <c r="O450" s="89"/>
      <c r="P450" s="89"/>
      <c r="Q450" s="89"/>
      <c r="R450" s="89"/>
      <c r="S450" s="89"/>
      <c r="T450" s="89"/>
      <c r="U450" s="89"/>
      <c r="V450" s="89"/>
      <c r="W450" s="89"/>
      <c r="X450" s="494"/>
      <c r="Y450" s="494"/>
      <c r="Z450" s="89"/>
      <c r="AA450" s="89"/>
      <c r="AB450" s="89"/>
      <c r="AC450" s="89"/>
      <c r="AD450" s="89"/>
      <c r="AE450" s="89"/>
      <c r="AF450" s="89"/>
      <c r="AG450" s="89"/>
      <c r="AH450" s="89"/>
      <c r="AI450" s="89"/>
      <c r="AJ450" s="89"/>
      <c r="AK450" s="89"/>
      <c r="AL450" s="89"/>
      <c r="AM450" s="89"/>
      <c r="AN450" s="89"/>
      <c r="AO450" s="89"/>
      <c r="AP450" s="89"/>
      <c r="AQ450" s="89"/>
      <c r="AR450" s="337">
        <f t="shared" ref="AR450:AR513" si="23">Y450</f>
        <v>0</v>
      </c>
      <c r="AS450" s="192">
        <f t="shared" si="20"/>
        <v>0</v>
      </c>
      <c r="AT450" s="337">
        <f t="shared" si="21"/>
        <v>0</v>
      </c>
    </row>
    <row r="451" spans="2:46" ht="14.25" hidden="1">
      <c r="B451" s="437">
        <f t="shared" si="22"/>
        <v>5</v>
      </c>
      <c r="C451" s="255" t="s">
        <v>461</v>
      </c>
      <c r="D451" s="494"/>
      <c r="E451" s="494"/>
      <c r="F451" s="89"/>
      <c r="G451" s="89"/>
      <c r="H451" s="89"/>
      <c r="I451" s="89"/>
      <c r="J451" s="89"/>
      <c r="K451" s="89"/>
      <c r="L451" s="89"/>
      <c r="M451" s="89"/>
      <c r="N451" s="89"/>
      <c r="O451" s="89"/>
      <c r="P451" s="89"/>
      <c r="Q451" s="89"/>
      <c r="R451" s="89"/>
      <c r="S451" s="89"/>
      <c r="T451" s="89"/>
      <c r="U451" s="89"/>
      <c r="V451" s="89"/>
      <c r="W451" s="89"/>
      <c r="X451" s="494"/>
      <c r="Y451" s="494"/>
      <c r="Z451" s="89"/>
      <c r="AA451" s="89"/>
      <c r="AB451" s="89"/>
      <c r="AC451" s="89"/>
      <c r="AD451" s="89"/>
      <c r="AE451" s="89"/>
      <c r="AF451" s="89"/>
      <c r="AG451" s="89"/>
      <c r="AH451" s="89"/>
      <c r="AI451" s="89"/>
      <c r="AJ451" s="89"/>
      <c r="AK451" s="89"/>
      <c r="AL451" s="89"/>
      <c r="AM451" s="89"/>
      <c r="AN451" s="89"/>
      <c r="AO451" s="89"/>
      <c r="AP451" s="89"/>
      <c r="AQ451" s="89"/>
      <c r="AR451" s="337">
        <f t="shared" si="23"/>
        <v>0</v>
      </c>
      <c r="AS451" s="192">
        <f t="shared" si="20"/>
        <v>0</v>
      </c>
      <c r="AT451" s="337">
        <f t="shared" si="21"/>
        <v>0</v>
      </c>
    </row>
    <row r="452" spans="2:46" ht="14.25" hidden="1">
      <c r="B452" s="437">
        <f t="shared" si="22"/>
        <v>6</v>
      </c>
      <c r="C452" s="255" t="s">
        <v>461</v>
      </c>
      <c r="D452" s="494"/>
      <c r="E452" s="494"/>
      <c r="F452" s="89"/>
      <c r="G452" s="89"/>
      <c r="H452" s="89"/>
      <c r="I452" s="89"/>
      <c r="J452" s="89"/>
      <c r="K452" s="89"/>
      <c r="L452" s="89"/>
      <c r="M452" s="89"/>
      <c r="N452" s="89"/>
      <c r="O452" s="89"/>
      <c r="P452" s="89"/>
      <c r="Q452" s="89"/>
      <c r="R452" s="89"/>
      <c r="S452" s="89"/>
      <c r="T452" s="89"/>
      <c r="U452" s="89"/>
      <c r="V452" s="89"/>
      <c r="W452" s="89"/>
      <c r="X452" s="494"/>
      <c r="Y452" s="494"/>
      <c r="Z452" s="89"/>
      <c r="AA452" s="89"/>
      <c r="AB452" s="89"/>
      <c r="AC452" s="89"/>
      <c r="AD452" s="89"/>
      <c r="AE452" s="89"/>
      <c r="AF452" s="89"/>
      <c r="AG452" s="89"/>
      <c r="AH452" s="89"/>
      <c r="AI452" s="89"/>
      <c r="AJ452" s="89"/>
      <c r="AK452" s="89"/>
      <c r="AL452" s="89"/>
      <c r="AM452" s="89"/>
      <c r="AN452" s="89"/>
      <c r="AO452" s="89"/>
      <c r="AP452" s="89"/>
      <c r="AQ452" s="89"/>
      <c r="AR452" s="337">
        <f t="shared" si="23"/>
        <v>0</v>
      </c>
      <c r="AS452" s="192">
        <f t="shared" si="20"/>
        <v>0</v>
      </c>
      <c r="AT452" s="337">
        <f t="shared" si="21"/>
        <v>0</v>
      </c>
    </row>
    <row r="453" spans="2:46" ht="14.25" hidden="1">
      <c r="B453" s="437">
        <f t="shared" si="22"/>
        <v>7</v>
      </c>
      <c r="C453" s="255" t="s">
        <v>461</v>
      </c>
      <c r="D453" s="494"/>
      <c r="E453" s="494"/>
      <c r="F453" s="89"/>
      <c r="G453" s="89"/>
      <c r="H453" s="89"/>
      <c r="I453" s="89"/>
      <c r="J453" s="89"/>
      <c r="K453" s="89"/>
      <c r="L453" s="89"/>
      <c r="M453" s="89"/>
      <c r="N453" s="89"/>
      <c r="O453" s="89"/>
      <c r="P453" s="89"/>
      <c r="Q453" s="89"/>
      <c r="R453" s="89"/>
      <c r="S453" s="89"/>
      <c r="T453" s="89"/>
      <c r="U453" s="89"/>
      <c r="V453" s="89"/>
      <c r="W453" s="89"/>
      <c r="X453" s="494"/>
      <c r="Y453" s="494"/>
      <c r="Z453" s="89"/>
      <c r="AA453" s="89"/>
      <c r="AB453" s="89"/>
      <c r="AC453" s="89"/>
      <c r="AD453" s="89"/>
      <c r="AE453" s="89"/>
      <c r="AF453" s="89"/>
      <c r="AG453" s="89"/>
      <c r="AH453" s="89"/>
      <c r="AI453" s="89"/>
      <c r="AJ453" s="89"/>
      <c r="AK453" s="89"/>
      <c r="AL453" s="89"/>
      <c r="AM453" s="89"/>
      <c r="AN453" s="89"/>
      <c r="AO453" s="89"/>
      <c r="AP453" s="89"/>
      <c r="AQ453" s="89"/>
      <c r="AR453" s="337">
        <f t="shared" si="23"/>
        <v>0</v>
      </c>
      <c r="AS453" s="192">
        <f t="shared" si="20"/>
        <v>0</v>
      </c>
      <c r="AT453" s="337">
        <f t="shared" si="21"/>
        <v>0</v>
      </c>
    </row>
    <row r="454" spans="2:46" ht="14.25" hidden="1">
      <c r="B454" s="437">
        <f t="shared" si="22"/>
        <v>8</v>
      </c>
      <c r="C454" s="255" t="s">
        <v>461</v>
      </c>
      <c r="D454" s="494"/>
      <c r="E454" s="494"/>
      <c r="F454" s="89"/>
      <c r="G454" s="89"/>
      <c r="H454" s="89"/>
      <c r="I454" s="89"/>
      <c r="J454" s="89"/>
      <c r="K454" s="89"/>
      <c r="L454" s="89"/>
      <c r="M454" s="89"/>
      <c r="N454" s="89"/>
      <c r="O454" s="89"/>
      <c r="P454" s="89"/>
      <c r="Q454" s="89"/>
      <c r="R454" s="89"/>
      <c r="S454" s="89"/>
      <c r="T454" s="89"/>
      <c r="U454" s="89"/>
      <c r="V454" s="89"/>
      <c r="W454" s="89"/>
      <c r="X454" s="494"/>
      <c r="Y454" s="494"/>
      <c r="Z454" s="89"/>
      <c r="AA454" s="89"/>
      <c r="AB454" s="89"/>
      <c r="AC454" s="89"/>
      <c r="AD454" s="89"/>
      <c r="AE454" s="89"/>
      <c r="AF454" s="89"/>
      <c r="AG454" s="89"/>
      <c r="AH454" s="89"/>
      <c r="AI454" s="89"/>
      <c r="AJ454" s="89"/>
      <c r="AK454" s="89"/>
      <c r="AL454" s="89"/>
      <c r="AM454" s="89"/>
      <c r="AN454" s="89"/>
      <c r="AO454" s="89"/>
      <c r="AP454" s="89"/>
      <c r="AQ454" s="89"/>
      <c r="AR454" s="337">
        <f t="shared" si="23"/>
        <v>0</v>
      </c>
      <c r="AS454" s="192">
        <f t="shared" si="20"/>
        <v>0</v>
      </c>
      <c r="AT454" s="337">
        <f t="shared" si="21"/>
        <v>0</v>
      </c>
    </row>
    <row r="455" spans="2:46" ht="14.25" hidden="1">
      <c r="B455" s="437">
        <f t="shared" si="22"/>
        <v>9</v>
      </c>
      <c r="C455" s="255" t="s">
        <v>461</v>
      </c>
      <c r="D455" s="494"/>
      <c r="E455" s="494"/>
      <c r="F455" s="89"/>
      <c r="G455" s="89"/>
      <c r="H455" s="89"/>
      <c r="I455" s="89"/>
      <c r="J455" s="89"/>
      <c r="K455" s="89"/>
      <c r="L455" s="89"/>
      <c r="M455" s="89"/>
      <c r="N455" s="89"/>
      <c r="O455" s="89"/>
      <c r="P455" s="89"/>
      <c r="Q455" s="89"/>
      <c r="R455" s="89"/>
      <c r="S455" s="89"/>
      <c r="T455" s="89"/>
      <c r="U455" s="89"/>
      <c r="V455" s="89"/>
      <c r="W455" s="89"/>
      <c r="X455" s="494"/>
      <c r="Y455" s="494"/>
      <c r="Z455" s="89"/>
      <c r="AA455" s="89"/>
      <c r="AB455" s="89"/>
      <c r="AC455" s="89"/>
      <c r="AD455" s="89"/>
      <c r="AE455" s="89"/>
      <c r="AF455" s="89"/>
      <c r="AG455" s="89"/>
      <c r="AH455" s="89"/>
      <c r="AI455" s="89"/>
      <c r="AJ455" s="89"/>
      <c r="AK455" s="89"/>
      <c r="AL455" s="89"/>
      <c r="AM455" s="89"/>
      <c r="AN455" s="89"/>
      <c r="AO455" s="89"/>
      <c r="AP455" s="89"/>
      <c r="AQ455" s="89"/>
      <c r="AR455" s="337">
        <f t="shared" si="23"/>
        <v>0</v>
      </c>
      <c r="AS455" s="192">
        <f t="shared" si="20"/>
        <v>0</v>
      </c>
      <c r="AT455" s="337">
        <f t="shared" si="21"/>
        <v>0</v>
      </c>
    </row>
    <row r="456" spans="2:46" ht="14.65" hidden="1" customHeight="1" outlineLevel="1">
      <c r="B456" s="437">
        <f t="shared" si="22"/>
        <v>10</v>
      </c>
      <c r="C456" s="255" t="s">
        <v>461</v>
      </c>
      <c r="D456" s="494"/>
      <c r="E456" s="494"/>
      <c r="F456" s="89"/>
      <c r="G456" s="89"/>
      <c r="H456" s="89"/>
      <c r="I456" s="89"/>
      <c r="J456" s="89"/>
      <c r="K456" s="89"/>
      <c r="L456" s="89"/>
      <c r="M456" s="89"/>
      <c r="N456" s="89"/>
      <c r="O456" s="89"/>
      <c r="P456" s="89"/>
      <c r="Q456" s="89"/>
      <c r="R456" s="89"/>
      <c r="S456" s="89"/>
      <c r="T456" s="89"/>
      <c r="U456" s="89"/>
      <c r="V456" s="89"/>
      <c r="W456" s="89"/>
      <c r="X456" s="494"/>
      <c r="Y456" s="494"/>
      <c r="Z456" s="89"/>
      <c r="AA456" s="89"/>
      <c r="AB456" s="89"/>
      <c r="AC456" s="89"/>
      <c r="AD456" s="89"/>
      <c r="AE456" s="89"/>
      <c r="AF456" s="89"/>
      <c r="AG456" s="89"/>
      <c r="AH456" s="89"/>
      <c r="AI456" s="89"/>
      <c r="AJ456" s="89"/>
      <c r="AK456" s="89"/>
      <c r="AL456" s="89"/>
      <c r="AM456" s="89"/>
      <c r="AN456" s="89"/>
      <c r="AO456" s="89"/>
      <c r="AP456" s="89"/>
      <c r="AQ456" s="89"/>
      <c r="AR456" s="337">
        <f t="shared" si="23"/>
        <v>0</v>
      </c>
      <c r="AS456" s="192">
        <f t="shared" si="20"/>
        <v>0</v>
      </c>
      <c r="AT456" s="337">
        <f t="shared" si="21"/>
        <v>0</v>
      </c>
    </row>
    <row r="457" spans="2:46" ht="14.65" hidden="1" customHeight="1" outlineLevel="1">
      <c r="B457" s="437">
        <f t="shared" si="22"/>
        <v>11</v>
      </c>
      <c r="C457" s="255" t="s">
        <v>461</v>
      </c>
      <c r="D457" s="494"/>
      <c r="E457" s="494"/>
      <c r="F457" s="89"/>
      <c r="G457" s="89"/>
      <c r="H457" s="89"/>
      <c r="I457" s="89"/>
      <c r="J457" s="89"/>
      <c r="K457" s="89"/>
      <c r="L457" s="89"/>
      <c r="M457" s="89"/>
      <c r="N457" s="89"/>
      <c r="O457" s="89"/>
      <c r="P457" s="89"/>
      <c r="Q457" s="89"/>
      <c r="R457" s="89"/>
      <c r="S457" s="89"/>
      <c r="T457" s="89"/>
      <c r="U457" s="89"/>
      <c r="V457" s="89"/>
      <c r="W457" s="89"/>
      <c r="X457" s="494"/>
      <c r="Y457" s="494"/>
      <c r="Z457" s="89"/>
      <c r="AA457" s="89"/>
      <c r="AB457" s="89"/>
      <c r="AC457" s="89"/>
      <c r="AD457" s="89"/>
      <c r="AE457" s="89"/>
      <c r="AF457" s="89"/>
      <c r="AG457" s="89"/>
      <c r="AH457" s="89"/>
      <c r="AI457" s="89"/>
      <c r="AJ457" s="89"/>
      <c r="AK457" s="89"/>
      <c r="AL457" s="89"/>
      <c r="AM457" s="89"/>
      <c r="AN457" s="89"/>
      <c r="AO457" s="89"/>
      <c r="AP457" s="89"/>
      <c r="AQ457" s="89"/>
      <c r="AR457" s="337">
        <f t="shared" si="23"/>
        <v>0</v>
      </c>
      <c r="AS457" s="192">
        <f t="shared" si="20"/>
        <v>0</v>
      </c>
      <c r="AT457" s="337">
        <f t="shared" si="21"/>
        <v>0</v>
      </c>
    </row>
    <row r="458" spans="2:46" ht="14.65" hidden="1" customHeight="1" outlineLevel="1">
      <c r="B458" s="437">
        <f t="shared" si="22"/>
        <v>12</v>
      </c>
      <c r="C458" s="255" t="s">
        <v>461</v>
      </c>
      <c r="D458" s="494"/>
      <c r="E458" s="494"/>
      <c r="F458" s="89"/>
      <c r="G458" s="89"/>
      <c r="H458" s="89"/>
      <c r="I458" s="89"/>
      <c r="J458" s="89"/>
      <c r="K458" s="89"/>
      <c r="L458" s="89"/>
      <c r="M458" s="89"/>
      <c r="N458" s="89"/>
      <c r="O458" s="89"/>
      <c r="P458" s="89"/>
      <c r="Q458" s="89"/>
      <c r="R458" s="89"/>
      <c r="S458" s="89"/>
      <c r="T458" s="89"/>
      <c r="U458" s="89"/>
      <c r="V458" s="89"/>
      <c r="W458" s="89"/>
      <c r="X458" s="494"/>
      <c r="Y458" s="494"/>
      <c r="Z458" s="89"/>
      <c r="AA458" s="89"/>
      <c r="AB458" s="89"/>
      <c r="AC458" s="89"/>
      <c r="AD458" s="89"/>
      <c r="AE458" s="89"/>
      <c r="AF458" s="89"/>
      <c r="AG458" s="89"/>
      <c r="AH458" s="89"/>
      <c r="AI458" s="89"/>
      <c r="AJ458" s="89"/>
      <c r="AK458" s="89"/>
      <c r="AL458" s="89"/>
      <c r="AM458" s="89"/>
      <c r="AN458" s="89"/>
      <c r="AO458" s="89"/>
      <c r="AP458" s="89"/>
      <c r="AQ458" s="89"/>
      <c r="AR458" s="337">
        <f t="shared" si="23"/>
        <v>0</v>
      </c>
      <c r="AS458" s="192">
        <f t="shared" si="20"/>
        <v>0</v>
      </c>
      <c r="AT458" s="337">
        <f t="shared" si="21"/>
        <v>0</v>
      </c>
    </row>
    <row r="459" spans="2:46" ht="14.65" hidden="1" customHeight="1" outlineLevel="1">
      <c r="B459" s="437">
        <f t="shared" si="22"/>
        <v>13</v>
      </c>
      <c r="C459" s="255" t="s">
        <v>461</v>
      </c>
      <c r="D459" s="494"/>
      <c r="E459" s="494"/>
      <c r="F459" s="89"/>
      <c r="G459" s="89"/>
      <c r="H459" s="89"/>
      <c r="I459" s="89"/>
      <c r="J459" s="89"/>
      <c r="K459" s="89"/>
      <c r="L459" s="89"/>
      <c r="M459" s="89"/>
      <c r="N459" s="89"/>
      <c r="O459" s="89"/>
      <c r="P459" s="89"/>
      <c r="Q459" s="89"/>
      <c r="R459" s="89"/>
      <c r="S459" s="89"/>
      <c r="T459" s="89"/>
      <c r="U459" s="89"/>
      <c r="V459" s="89"/>
      <c r="W459" s="89"/>
      <c r="X459" s="494"/>
      <c r="Y459" s="494"/>
      <c r="Z459" s="89"/>
      <c r="AA459" s="89"/>
      <c r="AB459" s="89"/>
      <c r="AC459" s="89"/>
      <c r="AD459" s="89"/>
      <c r="AE459" s="89"/>
      <c r="AF459" s="89"/>
      <c r="AG459" s="89"/>
      <c r="AH459" s="89"/>
      <c r="AI459" s="89"/>
      <c r="AJ459" s="89"/>
      <c r="AK459" s="89"/>
      <c r="AL459" s="89"/>
      <c r="AM459" s="89"/>
      <c r="AN459" s="89"/>
      <c r="AO459" s="89"/>
      <c r="AP459" s="89"/>
      <c r="AQ459" s="89"/>
      <c r="AR459" s="337">
        <f t="shared" si="23"/>
        <v>0</v>
      </c>
      <c r="AS459" s="192">
        <f t="shared" si="20"/>
        <v>0</v>
      </c>
      <c r="AT459" s="337">
        <f t="shared" si="21"/>
        <v>0</v>
      </c>
    </row>
    <row r="460" spans="2:46" ht="14.65" hidden="1" customHeight="1" outlineLevel="1">
      <c r="B460" s="437">
        <f t="shared" si="22"/>
        <v>14</v>
      </c>
      <c r="C460" s="255" t="s">
        <v>461</v>
      </c>
      <c r="D460" s="494"/>
      <c r="E460" s="494"/>
      <c r="F460" s="89"/>
      <c r="G460" s="89"/>
      <c r="H460" s="89"/>
      <c r="I460" s="89"/>
      <c r="J460" s="89"/>
      <c r="K460" s="89"/>
      <c r="L460" s="89"/>
      <c r="M460" s="89"/>
      <c r="N460" s="89"/>
      <c r="O460" s="89"/>
      <c r="P460" s="89"/>
      <c r="Q460" s="89"/>
      <c r="R460" s="89"/>
      <c r="S460" s="89"/>
      <c r="T460" s="89"/>
      <c r="U460" s="89"/>
      <c r="V460" s="89"/>
      <c r="W460" s="89"/>
      <c r="X460" s="494"/>
      <c r="Y460" s="494"/>
      <c r="Z460" s="89"/>
      <c r="AA460" s="89"/>
      <c r="AB460" s="89"/>
      <c r="AC460" s="89"/>
      <c r="AD460" s="89"/>
      <c r="AE460" s="89"/>
      <c r="AF460" s="89"/>
      <c r="AG460" s="89"/>
      <c r="AH460" s="89"/>
      <c r="AI460" s="89"/>
      <c r="AJ460" s="89"/>
      <c r="AK460" s="89"/>
      <c r="AL460" s="89"/>
      <c r="AM460" s="89"/>
      <c r="AN460" s="89"/>
      <c r="AO460" s="89"/>
      <c r="AP460" s="89"/>
      <c r="AQ460" s="89"/>
      <c r="AR460" s="337">
        <f t="shared" si="23"/>
        <v>0</v>
      </c>
      <c r="AS460" s="192">
        <f t="shared" si="20"/>
        <v>0</v>
      </c>
      <c r="AT460" s="337">
        <f t="shared" si="21"/>
        <v>0</v>
      </c>
    </row>
    <row r="461" spans="2:46" ht="14.65" hidden="1" customHeight="1" outlineLevel="1">
      <c r="B461" s="437">
        <f t="shared" si="22"/>
        <v>15</v>
      </c>
      <c r="C461" s="255" t="s">
        <v>461</v>
      </c>
      <c r="D461" s="494"/>
      <c r="E461" s="494"/>
      <c r="F461" s="89"/>
      <c r="G461" s="89"/>
      <c r="H461" s="89"/>
      <c r="I461" s="89"/>
      <c r="J461" s="89"/>
      <c r="K461" s="89"/>
      <c r="L461" s="89"/>
      <c r="M461" s="89"/>
      <c r="N461" s="89"/>
      <c r="O461" s="89"/>
      <c r="P461" s="89"/>
      <c r="Q461" s="89"/>
      <c r="R461" s="89"/>
      <c r="S461" s="89"/>
      <c r="T461" s="89"/>
      <c r="U461" s="89"/>
      <c r="V461" s="89"/>
      <c r="W461" s="89"/>
      <c r="X461" s="494"/>
      <c r="Y461" s="494"/>
      <c r="Z461" s="89"/>
      <c r="AA461" s="89"/>
      <c r="AB461" s="89"/>
      <c r="AC461" s="89"/>
      <c r="AD461" s="89"/>
      <c r="AE461" s="89"/>
      <c r="AF461" s="89"/>
      <c r="AG461" s="89"/>
      <c r="AH461" s="89"/>
      <c r="AI461" s="89"/>
      <c r="AJ461" s="89"/>
      <c r="AK461" s="89"/>
      <c r="AL461" s="89"/>
      <c r="AM461" s="89"/>
      <c r="AN461" s="89"/>
      <c r="AO461" s="89"/>
      <c r="AP461" s="89"/>
      <c r="AQ461" s="89"/>
      <c r="AR461" s="337">
        <f t="shared" si="23"/>
        <v>0</v>
      </c>
      <c r="AS461" s="192">
        <f t="shared" si="20"/>
        <v>0</v>
      </c>
      <c r="AT461" s="337">
        <f t="shared" si="21"/>
        <v>0</v>
      </c>
    </row>
    <row r="462" spans="2:46" ht="14.65" hidden="1" customHeight="1" outlineLevel="1">
      <c r="B462" s="437">
        <f t="shared" si="22"/>
        <v>16</v>
      </c>
      <c r="C462" s="255" t="s">
        <v>461</v>
      </c>
      <c r="D462" s="494"/>
      <c r="E462" s="494"/>
      <c r="F462" s="89"/>
      <c r="G462" s="89"/>
      <c r="H462" s="89"/>
      <c r="I462" s="89"/>
      <c r="J462" s="89"/>
      <c r="K462" s="89"/>
      <c r="L462" s="89"/>
      <c r="M462" s="89"/>
      <c r="N462" s="89"/>
      <c r="O462" s="89"/>
      <c r="P462" s="89"/>
      <c r="Q462" s="89"/>
      <c r="R462" s="89"/>
      <c r="S462" s="89"/>
      <c r="T462" s="89"/>
      <c r="U462" s="89"/>
      <c r="V462" s="89"/>
      <c r="W462" s="89"/>
      <c r="X462" s="494"/>
      <c r="Y462" s="494"/>
      <c r="Z462" s="89"/>
      <c r="AA462" s="89"/>
      <c r="AB462" s="89"/>
      <c r="AC462" s="89"/>
      <c r="AD462" s="89"/>
      <c r="AE462" s="89"/>
      <c r="AF462" s="89"/>
      <c r="AG462" s="89"/>
      <c r="AH462" s="89"/>
      <c r="AI462" s="89"/>
      <c r="AJ462" s="89"/>
      <c r="AK462" s="89"/>
      <c r="AL462" s="89"/>
      <c r="AM462" s="89"/>
      <c r="AN462" s="89"/>
      <c r="AO462" s="89"/>
      <c r="AP462" s="89"/>
      <c r="AQ462" s="89"/>
      <c r="AR462" s="337">
        <f t="shared" si="23"/>
        <v>0</v>
      </c>
      <c r="AS462" s="192">
        <f t="shared" si="20"/>
        <v>0</v>
      </c>
      <c r="AT462" s="337">
        <f t="shared" si="21"/>
        <v>0</v>
      </c>
    </row>
    <row r="463" spans="2:46" ht="14.65" hidden="1" customHeight="1" outlineLevel="1">
      <c r="B463" s="437">
        <f t="shared" si="22"/>
        <v>17</v>
      </c>
      <c r="C463" s="255" t="s">
        <v>461</v>
      </c>
      <c r="D463" s="494"/>
      <c r="E463" s="494"/>
      <c r="F463" s="89"/>
      <c r="G463" s="89"/>
      <c r="H463" s="89"/>
      <c r="I463" s="89"/>
      <c r="J463" s="89"/>
      <c r="K463" s="89"/>
      <c r="L463" s="89"/>
      <c r="M463" s="89"/>
      <c r="N463" s="89"/>
      <c r="O463" s="89"/>
      <c r="P463" s="89"/>
      <c r="Q463" s="89"/>
      <c r="R463" s="89"/>
      <c r="S463" s="89"/>
      <c r="T463" s="89"/>
      <c r="U463" s="89"/>
      <c r="V463" s="89"/>
      <c r="W463" s="89"/>
      <c r="X463" s="494"/>
      <c r="Y463" s="494"/>
      <c r="Z463" s="89"/>
      <c r="AA463" s="89"/>
      <c r="AB463" s="89"/>
      <c r="AC463" s="89"/>
      <c r="AD463" s="89"/>
      <c r="AE463" s="89"/>
      <c r="AF463" s="89"/>
      <c r="AG463" s="89"/>
      <c r="AH463" s="89"/>
      <c r="AI463" s="89"/>
      <c r="AJ463" s="89"/>
      <c r="AK463" s="89"/>
      <c r="AL463" s="89"/>
      <c r="AM463" s="89"/>
      <c r="AN463" s="89"/>
      <c r="AO463" s="89"/>
      <c r="AP463" s="89"/>
      <c r="AQ463" s="89"/>
      <c r="AR463" s="337">
        <f t="shared" si="23"/>
        <v>0</v>
      </c>
      <c r="AS463" s="192">
        <f t="shared" si="20"/>
        <v>0</v>
      </c>
      <c r="AT463" s="337">
        <f t="shared" si="21"/>
        <v>0</v>
      </c>
    </row>
    <row r="464" spans="2:46" ht="14.65" hidden="1" customHeight="1" outlineLevel="1">
      <c r="B464" s="437">
        <f t="shared" si="22"/>
        <v>18</v>
      </c>
      <c r="C464" s="255" t="s">
        <v>461</v>
      </c>
      <c r="D464" s="494"/>
      <c r="E464" s="494"/>
      <c r="F464" s="89"/>
      <c r="G464" s="89"/>
      <c r="H464" s="89"/>
      <c r="I464" s="89"/>
      <c r="J464" s="89"/>
      <c r="K464" s="89"/>
      <c r="L464" s="89"/>
      <c r="M464" s="89"/>
      <c r="N464" s="89"/>
      <c r="O464" s="89"/>
      <c r="P464" s="89"/>
      <c r="Q464" s="89"/>
      <c r="R464" s="89"/>
      <c r="S464" s="89"/>
      <c r="T464" s="89"/>
      <c r="U464" s="89"/>
      <c r="V464" s="89"/>
      <c r="W464" s="89"/>
      <c r="X464" s="494"/>
      <c r="Y464" s="494"/>
      <c r="Z464" s="89"/>
      <c r="AA464" s="89"/>
      <c r="AB464" s="89"/>
      <c r="AC464" s="89"/>
      <c r="AD464" s="89"/>
      <c r="AE464" s="89"/>
      <c r="AF464" s="89"/>
      <c r="AG464" s="89"/>
      <c r="AH464" s="89"/>
      <c r="AI464" s="89"/>
      <c r="AJ464" s="89"/>
      <c r="AK464" s="89"/>
      <c r="AL464" s="89"/>
      <c r="AM464" s="89"/>
      <c r="AN464" s="89"/>
      <c r="AO464" s="89"/>
      <c r="AP464" s="89"/>
      <c r="AQ464" s="89"/>
      <c r="AR464" s="337">
        <f t="shared" si="23"/>
        <v>0</v>
      </c>
      <c r="AS464" s="192">
        <f t="shared" si="20"/>
        <v>0</v>
      </c>
      <c r="AT464" s="337">
        <f t="shared" si="21"/>
        <v>0</v>
      </c>
    </row>
    <row r="465" spans="2:46" ht="14.65" hidden="1" customHeight="1" outlineLevel="1">
      <c r="B465" s="437">
        <f t="shared" si="22"/>
        <v>19</v>
      </c>
      <c r="C465" s="255" t="s">
        <v>461</v>
      </c>
      <c r="D465" s="494"/>
      <c r="E465" s="494"/>
      <c r="F465" s="89"/>
      <c r="G465" s="89"/>
      <c r="H465" s="89"/>
      <c r="I465" s="89"/>
      <c r="J465" s="89"/>
      <c r="K465" s="89"/>
      <c r="L465" s="89"/>
      <c r="M465" s="89"/>
      <c r="N465" s="89"/>
      <c r="O465" s="89"/>
      <c r="P465" s="89"/>
      <c r="Q465" s="89"/>
      <c r="R465" s="89"/>
      <c r="S465" s="89"/>
      <c r="T465" s="89"/>
      <c r="U465" s="89"/>
      <c r="V465" s="89"/>
      <c r="W465" s="89"/>
      <c r="X465" s="494"/>
      <c r="Y465" s="494"/>
      <c r="Z465" s="89"/>
      <c r="AA465" s="89"/>
      <c r="AB465" s="89"/>
      <c r="AC465" s="89"/>
      <c r="AD465" s="89"/>
      <c r="AE465" s="89"/>
      <c r="AF465" s="89"/>
      <c r="AG465" s="89"/>
      <c r="AH465" s="89"/>
      <c r="AI465" s="89"/>
      <c r="AJ465" s="89"/>
      <c r="AK465" s="89"/>
      <c r="AL465" s="89"/>
      <c r="AM465" s="89"/>
      <c r="AN465" s="89"/>
      <c r="AO465" s="89"/>
      <c r="AP465" s="89"/>
      <c r="AQ465" s="89"/>
      <c r="AR465" s="337">
        <f t="shared" si="23"/>
        <v>0</v>
      </c>
      <c r="AS465" s="192">
        <f t="shared" si="20"/>
        <v>0</v>
      </c>
      <c r="AT465" s="337">
        <f t="shared" si="21"/>
        <v>0</v>
      </c>
    </row>
    <row r="466" spans="2:46" ht="14.65" hidden="1" customHeight="1" outlineLevel="1">
      <c r="B466" s="437">
        <f t="shared" si="22"/>
        <v>20</v>
      </c>
      <c r="C466" s="255" t="s">
        <v>461</v>
      </c>
      <c r="D466" s="494"/>
      <c r="E466" s="494"/>
      <c r="F466" s="89"/>
      <c r="G466" s="89"/>
      <c r="H466" s="89"/>
      <c r="I466" s="89"/>
      <c r="J466" s="89"/>
      <c r="K466" s="89"/>
      <c r="L466" s="89"/>
      <c r="M466" s="89"/>
      <c r="N466" s="89"/>
      <c r="O466" s="89"/>
      <c r="P466" s="89"/>
      <c r="Q466" s="89"/>
      <c r="R466" s="89"/>
      <c r="S466" s="89"/>
      <c r="T466" s="89"/>
      <c r="U466" s="89"/>
      <c r="V466" s="89"/>
      <c r="W466" s="89"/>
      <c r="X466" s="494"/>
      <c r="Y466" s="494"/>
      <c r="Z466" s="89"/>
      <c r="AA466" s="89"/>
      <c r="AB466" s="89"/>
      <c r="AC466" s="89"/>
      <c r="AD466" s="89"/>
      <c r="AE466" s="89"/>
      <c r="AF466" s="89"/>
      <c r="AG466" s="89"/>
      <c r="AH466" s="89"/>
      <c r="AI466" s="89"/>
      <c r="AJ466" s="89"/>
      <c r="AK466" s="89"/>
      <c r="AL466" s="89"/>
      <c r="AM466" s="89"/>
      <c r="AN466" s="89"/>
      <c r="AO466" s="89"/>
      <c r="AP466" s="89"/>
      <c r="AQ466" s="89"/>
      <c r="AR466" s="337">
        <f t="shared" si="23"/>
        <v>0</v>
      </c>
      <c r="AS466" s="192">
        <f t="shared" si="20"/>
        <v>0</v>
      </c>
      <c r="AT466" s="337">
        <f t="shared" si="21"/>
        <v>0</v>
      </c>
    </row>
    <row r="467" spans="2:46" ht="14.65" hidden="1" customHeight="1" outlineLevel="1">
      <c r="B467" s="437">
        <f t="shared" si="22"/>
        <v>21</v>
      </c>
      <c r="C467" s="255" t="s">
        <v>461</v>
      </c>
      <c r="D467" s="494"/>
      <c r="E467" s="494"/>
      <c r="F467" s="89"/>
      <c r="G467" s="89"/>
      <c r="H467" s="89"/>
      <c r="I467" s="89"/>
      <c r="J467" s="89"/>
      <c r="K467" s="89"/>
      <c r="L467" s="89"/>
      <c r="M467" s="89"/>
      <c r="N467" s="89"/>
      <c r="O467" s="89"/>
      <c r="P467" s="89"/>
      <c r="Q467" s="89"/>
      <c r="R467" s="89"/>
      <c r="S467" s="89"/>
      <c r="T467" s="89"/>
      <c r="U467" s="89"/>
      <c r="V467" s="89"/>
      <c r="W467" s="89"/>
      <c r="X467" s="494"/>
      <c r="Y467" s="494"/>
      <c r="Z467" s="89"/>
      <c r="AA467" s="89"/>
      <c r="AB467" s="89"/>
      <c r="AC467" s="89"/>
      <c r="AD467" s="89"/>
      <c r="AE467" s="89"/>
      <c r="AF467" s="89"/>
      <c r="AG467" s="89"/>
      <c r="AH467" s="89"/>
      <c r="AI467" s="89"/>
      <c r="AJ467" s="89"/>
      <c r="AK467" s="89"/>
      <c r="AL467" s="89"/>
      <c r="AM467" s="89"/>
      <c r="AN467" s="89"/>
      <c r="AO467" s="89"/>
      <c r="AP467" s="89"/>
      <c r="AQ467" s="89"/>
      <c r="AR467" s="337">
        <f t="shared" si="23"/>
        <v>0</v>
      </c>
      <c r="AS467" s="192">
        <f t="shared" si="20"/>
        <v>0</v>
      </c>
      <c r="AT467" s="337">
        <f t="shared" si="21"/>
        <v>0</v>
      </c>
    </row>
    <row r="468" spans="2:46" ht="14.65" hidden="1" customHeight="1" outlineLevel="1">
      <c r="B468" s="437">
        <f t="shared" si="22"/>
        <v>22</v>
      </c>
      <c r="C468" s="255" t="s">
        <v>461</v>
      </c>
      <c r="D468" s="494"/>
      <c r="E468" s="494"/>
      <c r="F468" s="89"/>
      <c r="G468" s="89"/>
      <c r="H468" s="89"/>
      <c r="I468" s="89"/>
      <c r="J468" s="89"/>
      <c r="K468" s="89"/>
      <c r="L468" s="89"/>
      <c r="M468" s="89"/>
      <c r="N468" s="89"/>
      <c r="O468" s="89"/>
      <c r="P468" s="89"/>
      <c r="Q468" s="89"/>
      <c r="R468" s="89"/>
      <c r="S468" s="89"/>
      <c r="T468" s="89"/>
      <c r="U468" s="89"/>
      <c r="V468" s="89"/>
      <c r="W468" s="89"/>
      <c r="X468" s="494"/>
      <c r="Y468" s="494"/>
      <c r="Z468" s="89"/>
      <c r="AA468" s="89"/>
      <c r="AB468" s="89"/>
      <c r="AC468" s="89"/>
      <c r="AD468" s="89"/>
      <c r="AE468" s="89"/>
      <c r="AF468" s="89"/>
      <c r="AG468" s="89"/>
      <c r="AH468" s="89"/>
      <c r="AI468" s="89"/>
      <c r="AJ468" s="89"/>
      <c r="AK468" s="89"/>
      <c r="AL468" s="89"/>
      <c r="AM468" s="89"/>
      <c r="AN468" s="89"/>
      <c r="AO468" s="89"/>
      <c r="AP468" s="89"/>
      <c r="AQ468" s="89"/>
      <c r="AR468" s="337">
        <f t="shared" si="23"/>
        <v>0</v>
      </c>
      <c r="AS468" s="192">
        <f t="shared" si="20"/>
        <v>0</v>
      </c>
      <c r="AT468" s="337">
        <f t="shared" si="21"/>
        <v>0</v>
      </c>
    </row>
    <row r="469" spans="2:46" ht="14.65" hidden="1" customHeight="1" outlineLevel="1">
      <c r="B469" s="437">
        <f t="shared" si="22"/>
        <v>23</v>
      </c>
      <c r="C469" s="255" t="s">
        <v>461</v>
      </c>
      <c r="D469" s="494"/>
      <c r="E469" s="494"/>
      <c r="F469" s="89"/>
      <c r="G469" s="89"/>
      <c r="H469" s="89"/>
      <c r="I469" s="89"/>
      <c r="J469" s="89"/>
      <c r="K469" s="89"/>
      <c r="L469" s="89"/>
      <c r="M469" s="89"/>
      <c r="N469" s="89"/>
      <c r="O469" s="89"/>
      <c r="P469" s="89"/>
      <c r="Q469" s="89"/>
      <c r="R469" s="89"/>
      <c r="S469" s="89"/>
      <c r="T469" s="89"/>
      <c r="U469" s="89"/>
      <c r="V469" s="89"/>
      <c r="W469" s="89"/>
      <c r="X469" s="494"/>
      <c r="Y469" s="494"/>
      <c r="Z469" s="89"/>
      <c r="AA469" s="89"/>
      <c r="AB469" s="89"/>
      <c r="AC469" s="89"/>
      <c r="AD469" s="89"/>
      <c r="AE469" s="89"/>
      <c r="AF469" s="89"/>
      <c r="AG469" s="89"/>
      <c r="AH469" s="89"/>
      <c r="AI469" s="89"/>
      <c r="AJ469" s="89"/>
      <c r="AK469" s="89"/>
      <c r="AL469" s="89"/>
      <c r="AM469" s="89"/>
      <c r="AN469" s="89"/>
      <c r="AO469" s="89"/>
      <c r="AP469" s="89"/>
      <c r="AQ469" s="89"/>
      <c r="AR469" s="337">
        <f t="shared" si="23"/>
        <v>0</v>
      </c>
      <c r="AS469" s="192">
        <f t="shared" si="20"/>
        <v>0</v>
      </c>
      <c r="AT469" s="337">
        <f t="shared" si="21"/>
        <v>0</v>
      </c>
    </row>
    <row r="470" spans="2:46" ht="14.65" hidden="1" customHeight="1" outlineLevel="1">
      <c r="B470" s="437">
        <f t="shared" si="22"/>
        <v>24</v>
      </c>
      <c r="C470" s="255" t="s">
        <v>461</v>
      </c>
      <c r="D470" s="494"/>
      <c r="E470" s="494"/>
      <c r="F470" s="89"/>
      <c r="G470" s="89"/>
      <c r="H470" s="89"/>
      <c r="I470" s="89"/>
      <c r="J470" s="89"/>
      <c r="K470" s="89"/>
      <c r="L470" s="89"/>
      <c r="M470" s="89"/>
      <c r="N470" s="89"/>
      <c r="O470" s="89"/>
      <c r="P470" s="89"/>
      <c r="Q470" s="89"/>
      <c r="R470" s="89"/>
      <c r="S470" s="89"/>
      <c r="T470" s="89"/>
      <c r="U470" s="89"/>
      <c r="V470" s="89"/>
      <c r="W470" s="89"/>
      <c r="X470" s="494"/>
      <c r="Y470" s="494"/>
      <c r="Z470" s="89"/>
      <c r="AA470" s="89"/>
      <c r="AB470" s="89"/>
      <c r="AC470" s="89"/>
      <c r="AD470" s="89"/>
      <c r="AE470" s="89"/>
      <c r="AF470" s="89"/>
      <c r="AG470" s="89"/>
      <c r="AH470" s="89"/>
      <c r="AI470" s="89"/>
      <c r="AJ470" s="89"/>
      <c r="AK470" s="89"/>
      <c r="AL470" s="89"/>
      <c r="AM470" s="89"/>
      <c r="AN470" s="89"/>
      <c r="AO470" s="89"/>
      <c r="AP470" s="89"/>
      <c r="AQ470" s="89"/>
      <c r="AR470" s="337">
        <f t="shared" si="23"/>
        <v>0</v>
      </c>
      <c r="AS470" s="192">
        <f t="shared" si="20"/>
        <v>0</v>
      </c>
      <c r="AT470" s="337">
        <f t="shared" si="21"/>
        <v>0</v>
      </c>
    </row>
    <row r="471" spans="2:46" ht="14.65" hidden="1" customHeight="1" outlineLevel="1">
      <c r="B471" s="437">
        <f t="shared" si="22"/>
        <v>25</v>
      </c>
      <c r="C471" s="255" t="s">
        <v>461</v>
      </c>
      <c r="D471" s="494"/>
      <c r="E471" s="494"/>
      <c r="F471" s="89"/>
      <c r="G471" s="89"/>
      <c r="H471" s="89"/>
      <c r="I471" s="89"/>
      <c r="J471" s="89"/>
      <c r="K471" s="89"/>
      <c r="L471" s="89"/>
      <c r="M471" s="89"/>
      <c r="N471" s="89"/>
      <c r="O471" s="89"/>
      <c r="P471" s="89"/>
      <c r="Q471" s="89"/>
      <c r="R471" s="89"/>
      <c r="S471" s="89"/>
      <c r="T471" s="89"/>
      <c r="U471" s="89"/>
      <c r="V471" s="89"/>
      <c r="W471" s="89"/>
      <c r="X471" s="494"/>
      <c r="Y471" s="494"/>
      <c r="Z471" s="89"/>
      <c r="AA471" s="89"/>
      <c r="AB471" s="89"/>
      <c r="AC471" s="89"/>
      <c r="AD471" s="89"/>
      <c r="AE471" s="89"/>
      <c r="AF471" s="89"/>
      <c r="AG471" s="89"/>
      <c r="AH471" s="89"/>
      <c r="AI471" s="89"/>
      <c r="AJ471" s="89"/>
      <c r="AK471" s="89"/>
      <c r="AL471" s="89"/>
      <c r="AM471" s="89"/>
      <c r="AN471" s="89"/>
      <c r="AO471" s="89"/>
      <c r="AP471" s="89"/>
      <c r="AQ471" s="89"/>
      <c r="AR471" s="337">
        <f t="shared" si="23"/>
        <v>0</v>
      </c>
      <c r="AS471" s="192">
        <f t="shared" si="20"/>
        <v>0</v>
      </c>
      <c r="AT471" s="337">
        <f t="shared" si="21"/>
        <v>0</v>
      </c>
    </row>
    <row r="472" spans="2:46" ht="14.65" hidden="1" customHeight="1" outlineLevel="1">
      <c r="B472" s="437">
        <f t="shared" si="22"/>
        <v>26</v>
      </c>
      <c r="C472" s="255" t="s">
        <v>461</v>
      </c>
      <c r="D472" s="494"/>
      <c r="E472" s="494"/>
      <c r="F472" s="89"/>
      <c r="G472" s="89"/>
      <c r="H472" s="89"/>
      <c r="I472" s="89"/>
      <c r="J472" s="89"/>
      <c r="K472" s="89"/>
      <c r="L472" s="89"/>
      <c r="M472" s="89"/>
      <c r="N472" s="89"/>
      <c r="O472" s="89"/>
      <c r="P472" s="89"/>
      <c r="Q472" s="89"/>
      <c r="R472" s="89"/>
      <c r="S472" s="89"/>
      <c r="T472" s="89"/>
      <c r="U472" s="89"/>
      <c r="V472" s="89"/>
      <c r="W472" s="89"/>
      <c r="X472" s="494"/>
      <c r="Y472" s="494"/>
      <c r="Z472" s="89"/>
      <c r="AA472" s="89"/>
      <c r="AB472" s="89"/>
      <c r="AC472" s="89"/>
      <c r="AD472" s="89"/>
      <c r="AE472" s="89"/>
      <c r="AF472" s="89"/>
      <c r="AG472" s="89"/>
      <c r="AH472" s="89"/>
      <c r="AI472" s="89"/>
      <c r="AJ472" s="89"/>
      <c r="AK472" s="89"/>
      <c r="AL472" s="89"/>
      <c r="AM472" s="89"/>
      <c r="AN472" s="89"/>
      <c r="AO472" s="89"/>
      <c r="AP472" s="89"/>
      <c r="AQ472" s="89"/>
      <c r="AR472" s="337">
        <f t="shared" si="23"/>
        <v>0</v>
      </c>
      <c r="AS472" s="192">
        <f t="shared" si="20"/>
        <v>0</v>
      </c>
      <c r="AT472" s="337">
        <f t="shared" si="21"/>
        <v>0</v>
      </c>
    </row>
    <row r="473" spans="2:46" ht="14.65" hidden="1" customHeight="1" outlineLevel="1">
      <c r="B473" s="437">
        <f t="shared" si="22"/>
        <v>27</v>
      </c>
      <c r="C473" s="255" t="s">
        <v>461</v>
      </c>
      <c r="D473" s="494"/>
      <c r="E473" s="494"/>
      <c r="F473" s="89"/>
      <c r="G473" s="89"/>
      <c r="H473" s="89"/>
      <c r="I473" s="89"/>
      <c r="J473" s="89"/>
      <c r="K473" s="89"/>
      <c r="L473" s="89"/>
      <c r="M473" s="89"/>
      <c r="N473" s="89"/>
      <c r="O473" s="89"/>
      <c r="P473" s="89"/>
      <c r="Q473" s="89"/>
      <c r="R473" s="89"/>
      <c r="S473" s="89"/>
      <c r="T473" s="89"/>
      <c r="U473" s="89"/>
      <c r="V473" s="89"/>
      <c r="W473" s="89"/>
      <c r="X473" s="494"/>
      <c r="Y473" s="494"/>
      <c r="Z473" s="89"/>
      <c r="AA473" s="89"/>
      <c r="AB473" s="89"/>
      <c r="AC473" s="89"/>
      <c r="AD473" s="89"/>
      <c r="AE473" s="89"/>
      <c r="AF473" s="89"/>
      <c r="AG473" s="89"/>
      <c r="AH473" s="89"/>
      <c r="AI473" s="89"/>
      <c r="AJ473" s="89"/>
      <c r="AK473" s="89"/>
      <c r="AL473" s="89"/>
      <c r="AM473" s="89"/>
      <c r="AN473" s="89"/>
      <c r="AO473" s="89"/>
      <c r="AP473" s="89"/>
      <c r="AQ473" s="89"/>
      <c r="AR473" s="337">
        <f t="shared" si="23"/>
        <v>0</v>
      </c>
      <c r="AS473" s="192">
        <f t="shared" si="20"/>
        <v>0</v>
      </c>
      <c r="AT473" s="337">
        <f t="shared" si="21"/>
        <v>0</v>
      </c>
    </row>
    <row r="474" spans="2:46" ht="14.65" hidden="1" customHeight="1" outlineLevel="1">
      <c r="B474" s="437">
        <f t="shared" si="22"/>
        <v>28</v>
      </c>
      <c r="C474" s="255" t="s">
        <v>461</v>
      </c>
      <c r="D474" s="494"/>
      <c r="E474" s="494"/>
      <c r="F474" s="89"/>
      <c r="G474" s="89"/>
      <c r="H474" s="89"/>
      <c r="I474" s="89"/>
      <c r="J474" s="89"/>
      <c r="K474" s="89"/>
      <c r="L474" s="89"/>
      <c r="M474" s="89"/>
      <c r="N474" s="89"/>
      <c r="O474" s="89"/>
      <c r="P474" s="89"/>
      <c r="Q474" s="89"/>
      <c r="R474" s="89"/>
      <c r="S474" s="89"/>
      <c r="T474" s="89"/>
      <c r="U474" s="89"/>
      <c r="V474" s="89"/>
      <c r="W474" s="89"/>
      <c r="X474" s="494"/>
      <c r="Y474" s="494"/>
      <c r="Z474" s="89"/>
      <c r="AA474" s="89"/>
      <c r="AB474" s="89"/>
      <c r="AC474" s="89"/>
      <c r="AD474" s="89"/>
      <c r="AE474" s="89"/>
      <c r="AF474" s="89"/>
      <c r="AG474" s="89"/>
      <c r="AH474" s="89"/>
      <c r="AI474" s="89"/>
      <c r="AJ474" s="89"/>
      <c r="AK474" s="89"/>
      <c r="AL474" s="89"/>
      <c r="AM474" s="89"/>
      <c r="AN474" s="89"/>
      <c r="AO474" s="89"/>
      <c r="AP474" s="89"/>
      <c r="AQ474" s="89"/>
      <c r="AR474" s="337">
        <f t="shared" si="23"/>
        <v>0</v>
      </c>
      <c r="AS474" s="192">
        <f t="shared" si="20"/>
        <v>0</v>
      </c>
      <c r="AT474" s="337">
        <f t="shared" si="21"/>
        <v>0</v>
      </c>
    </row>
    <row r="475" spans="2:46" ht="14.65" hidden="1" customHeight="1" outlineLevel="1">
      <c r="B475" s="437">
        <f t="shared" si="22"/>
        <v>29</v>
      </c>
      <c r="C475" s="255" t="s">
        <v>461</v>
      </c>
      <c r="D475" s="494"/>
      <c r="E475" s="494"/>
      <c r="F475" s="89"/>
      <c r="G475" s="89"/>
      <c r="H475" s="89"/>
      <c r="I475" s="89"/>
      <c r="J475" s="89"/>
      <c r="K475" s="89"/>
      <c r="L475" s="89"/>
      <c r="M475" s="89"/>
      <c r="N475" s="89"/>
      <c r="O475" s="89"/>
      <c r="P475" s="89"/>
      <c r="Q475" s="89"/>
      <c r="R475" s="89"/>
      <c r="S475" s="89"/>
      <c r="T475" s="89"/>
      <c r="U475" s="89"/>
      <c r="V475" s="89"/>
      <c r="W475" s="89"/>
      <c r="X475" s="494"/>
      <c r="Y475" s="494"/>
      <c r="Z475" s="89"/>
      <c r="AA475" s="89"/>
      <c r="AB475" s="89"/>
      <c r="AC475" s="89"/>
      <c r="AD475" s="89"/>
      <c r="AE475" s="89"/>
      <c r="AF475" s="89"/>
      <c r="AG475" s="89"/>
      <c r="AH475" s="89"/>
      <c r="AI475" s="89"/>
      <c r="AJ475" s="89"/>
      <c r="AK475" s="89"/>
      <c r="AL475" s="89"/>
      <c r="AM475" s="89"/>
      <c r="AN475" s="89"/>
      <c r="AO475" s="89"/>
      <c r="AP475" s="89"/>
      <c r="AQ475" s="89"/>
      <c r="AR475" s="337">
        <f t="shared" si="23"/>
        <v>0</v>
      </c>
      <c r="AS475" s="192">
        <f t="shared" si="20"/>
        <v>0</v>
      </c>
      <c r="AT475" s="337">
        <f t="shared" si="21"/>
        <v>0</v>
      </c>
    </row>
    <row r="476" spans="2:46" ht="14.65" hidden="1" customHeight="1" outlineLevel="1">
      <c r="B476" s="437">
        <f t="shared" si="22"/>
        <v>30</v>
      </c>
      <c r="C476" s="255" t="s">
        <v>461</v>
      </c>
      <c r="D476" s="494"/>
      <c r="E476" s="494"/>
      <c r="F476" s="89"/>
      <c r="G476" s="89"/>
      <c r="H476" s="89"/>
      <c r="I476" s="89"/>
      <c r="J476" s="89"/>
      <c r="K476" s="89"/>
      <c r="L476" s="89"/>
      <c r="M476" s="89"/>
      <c r="N476" s="89"/>
      <c r="O476" s="89"/>
      <c r="P476" s="89"/>
      <c r="Q476" s="89"/>
      <c r="R476" s="89"/>
      <c r="S476" s="89"/>
      <c r="T476" s="89"/>
      <c r="U476" s="89"/>
      <c r="V476" s="89"/>
      <c r="W476" s="89"/>
      <c r="X476" s="494"/>
      <c r="Y476" s="494"/>
      <c r="Z476" s="89"/>
      <c r="AA476" s="89"/>
      <c r="AB476" s="89"/>
      <c r="AC476" s="89"/>
      <c r="AD476" s="89"/>
      <c r="AE476" s="89"/>
      <c r="AF476" s="89"/>
      <c r="AG476" s="89"/>
      <c r="AH476" s="89"/>
      <c r="AI476" s="89"/>
      <c r="AJ476" s="89"/>
      <c r="AK476" s="89"/>
      <c r="AL476" s="89"/>
      <c r="AM476" s="89"/>
      <c r="AN476" s="89"/>
      <c r="AO476" s="89"/>
      <c r="AP476" s="89"/>
      <c r="AQ476" s="89"/>
      <c r="AR476" s="337">
        <f t="shared" si="23"/>
        <v>0</v>
      </c>
      <c r="AS476" s="192">
        <f t="shared" si="20"/>
        <v>0</v>
      </c>
      <c r="AT476" s="337">
        <f t="shared" si="21"/>
        <v>0</v>
      </c>
    </row>
    <row r="477" spans="2:46" ht="14.65" hidden="1" customHeight="1" outlineLevel="1">
      <c r="B477" s="437">
        <f t="shared" si="22"/>
        <v>31</v>
      </c>
      <c r="C477" s="255" t="s">
        <v>461</v>
      </c>
      <c r="D477" s="494"/>
      <c r="E477" s="494"/>
      <c r="F477" s="89"/>
      <c r="G477" s="89"/>
      <c r="H477" s="89"/>
      <c r="I477" s="89"/>
      <c r="J477" s="89"/>
      <c r="K477" s="89"/>
      <c r="L477" s="89"/>
      <c r="M477" s="89"/>
      <c r="N477" s="89"/>
      <c r="O477" s="89"/>
      <c r="P477" s="89"/>
      <c r="Q477" s="89"/>
      <c r="R477" s="89"/>
      <c r="S477" s="89"/>
      <c r="T477" s="89"/>
      <c r="U477" s="89"/>
      <c r="V477" s="89"/>
      <c r="W477" s="89"/>
      <c r="X477" s="494"/>
      <c r="Y477" s="494"/>
      <c r="Z477" s="89"/>
      <c r="AA477" s="89"/>
      <c r="AB477" s="89"/>
      <c r="AC477" s="89"/>
      <c r="AD477" s="89"/>
      <c r="AE477" s="89"/>
      <c r="AF477" s="89"/>
      <c r="AG477" s="89"/>
      <c r="AH477" s="89"/>
      <c r="AI477" s="89"/>
      <c r="AJ477" s="89"/>
      <c r="AK477" s="89"/>
      <c r="AL477" s="89"/>
      <c r="AM477" s="89"/>
      <c r="AN477" s="89"/>
      <c r="AO477" s="89"/>
      <c r="AP477" s="89"/>
      <c r="AQ477" s="89"/>
      <c r="AR477" s="337">
        <f t="shared" si="23"/>
        <v>0</v>
      </c>
      <c r="AS477" s="192">
        <f t="shared" si="20"/>
        <v>0</v>
      </c>
      <c r="AT477" s="337">
        <f t="shared" si="21"/>
        <v>0</v>
      </c>
    </row>
    <row r="478" spans="2:46" ht="14.65" hidden="1" customHeight="1" outlineLevel="1">
      <c r="B478" s="437">
        <f t="shared" si="22"/>
        <v>32</v>
      </c>
      <c r="C478" s="255" t="s">
        <v>461</v>
      </c>
      <c r="D478" s="494"/>
      <c r="E478" s="494"/>
      <c r="F478" s="89"/>
      <c r="G478" s="89"/>
      <c r="H478" s="89"/>
      <c r="I478" s="89"/>
      <c r="J478" s="89"/>
      <c r="K478" s="89"/>
      <c r="L478" s="89"/>
      <c r="M478" s="89"/>
      <c r="N478" s="89"/>
      <c r="O478" s="89"/>
      <c r="P478" s="89"/>
      <c r="Q478" s="89"/>
      <c r="R478" s="89"/>
      <c r="S478" s="89"/>
      <c r="T478" s="89"/>
      <c r="U478" s="89"/>
      <c r="V478" s="89"/>
      <c r="W478" s="89"/>
      <c r="X478" s="494"/>
      <c r="Y478" s="494"/>
      <c r="Z478" s="89"/>
      <c r="AA478" s="89"/>
      <c r="AB478" s="89"/>
      <c r="AC478" s="89"/>
      <c r="AD478" s="89"/>
      <c r="AE478" s="89"/>
      <c r="AF478" s="89"/>
      <c r="AG478" s="89"/>
      <c r="AH478" s="89"/>
      <c r="AI478" s="89"/>
      <c r="AJ478" s="89"/>
      <c r="AK478" s="89"/>
      <c r="AL478" s="89"/>
      <c r="AM478" s="89"/>
      <c r="AN478" s="89"/>
      <c r="AO478" s="89"/>
      <c r="AP478" s="89"/>
      <c r="AQ478" s="89"/>
      <c r="AR478" s="337">
        <f t="shared" si="23"/>
        <v>0</v>
      </c>
      <c r="AS478" s="192">
        <f t="shared" si="20"/>
        <v>0</v>
      </c>
      <c r="AT478" s="337">
        <f t="shared" si="21"/>
        <v>0</v>
      </c>
    </row>
    <row r="479" spans="2:46" ht="14.65" hidden="1" customHeight="1" outlineLevel="1">
      <c r="B479" s="437">
        <f t="shared" si="22"/>
        <v>33</v>
      </c>
      <c r="C479" s="255" t="s">
        <v>461</v>
      </c>
      <c r="D479" s="494"/>
      <c r="E479" s="494"/>
      <c r="F479" s="89"/>
      <c r="G479" s="89"/>
      <c r="H479" s="89"/>
      <c r="I479" s="89"/>
      <c r="J479" s="89"/>
      <c r="K479" s="89"/>
      <c r="L479" s="89"/>
      <c r="M479" s="89"/>
      <c r="N479" s="89"/>
      <c r="O479" s="89"/>
      <c r="P479" s="89"/>
      <c r="Q479" s="89"/>
      <c r="R479" s="89"/>
      <c r="S479" s="89"/>
      <c r="T479" s="89"/>
      <c r="U479" s="89"/>
      <c r="V479" s="89"/>
      <c r="W479" s="89"/>
      <c r="X479" s="494"/>
      <c r="Y479" s="494"/>
      <c r="Z479" s="89"/>
      <c r="AA479" s="89"/>
      <c r="AB479" s="89"/>
      <c r="AC479" s="89"/>
      <c r="AD479" s="89"/>
      <c r="AE479" s="89"/>
      <c r="AF479" s="89"/>
      <c r="AG479" s="89"/>
      <c r="AH479" s="89"/>
      <c r="AI479" s="89"/>
      <c r="AJ479" s="89"/>
      <c r="AK479" s="89"/>
      <c r="AL479" s="89"/>
      <c r="AM479" s="89"/>
      <c r="AN479" s="89"/>
      <c r="AO479" s="89"/>
      <c r="AP479" s="89"/>
      <c r="AQ479" s="89"/>
      <c r="AR479" s="337">
        <f t="shared" si="23"/>
        <v>0</v>
      </c>
      <c r="AS479" s="192">
        <f t="shared" si="20"/>
        <v>0</v>
      </c>
      <c r="AT479" s="337">
        <f t="shared" si="21"/>
        <v>0</v>
      </c>
    </row>
    <row r="480" spans="2:46" ht="14.65" hidden="1" customHeight="1" outlineLevel="1">
      <c r="B480" s="437">
        <f t="shared" si="22"/>
        <v>34</v>
      </c>
      <c r="C480" s="255" t="s">
        <v>461</v>
      </c>
      <c r="D480" s="494"/>
      <c r="E480" s="494"/>
      <c r="F480" s="89"/>
      <c r="G480" s="89"/>
      <c r="H480" s="89"/>
      <c r="I480" s="89"/>
      <c r="J480" s="89"/>
      <c r="K480" s="89"/>
      <c r="L480" s="89"/>
      <c r="M480" s="89"/>
      <c r="N480" s="89"/>
      <c r="O480" s="89"/>
      <c r="P480" s="89"/>
      <c r="Q480" s="89"/>
      <c r="R480" s="89"/>
      <c r="S480" s="89"/>
      <c r="T480" s="89"/>
      <c r="U480" s="89"/>
      <c r="V480" s="89"/>
      <c r="W480" s="89"/>
      <c r="X480" s="494"/>
      <c r="Y480" s="494"/>
      <c r="Z480" s="89"/>
      <c r="AA480" s="89"/>
      <c r="AB480" s="89"/>
      <c r="AC480" s="89"/>
      <c r="AD480" s="89"/>
      <c r="AE480" s="89"/>
      <c r="AF480" s="89"/>
      <c r="AG480" s="89"/>
      <c r="AH480" s="89"/>
      <c r="AI480" s="89"/>
      <c r="AJ480" s="89"/>
      <c r="AK480" s="89"/>
      <c r="AL480" s="89"/>
      <c r="AM480" s="89"/>
      <c r="AN480" s="89"/>
      <c r="AO480" s="89"/>
      <c r="AP480" s="89"/>
      <c r="AQ480" s="89"/>
      <c r="AR480" s="337">
        <f t="shared" si="23"/>
        <v>0</v>
      </c>
      <c r="AS480" s="192">
        <f t="shared" si="20"/>
        <v>0</v>
      </c>
      <c r="AT480" s="337">
        <f t="shared" si="21"/>
        <v>0</v>
      </c>
    </row>
    <row r="481" spans="2:46" ht="14.65" hidden="1" customHeight="1" outlineLevel="1">
      <c r="B481" s="437">
        <f t="shared" si="22"/>
        <v>35</v>
      </c>
      <c r="C481" s="255" t="s">
        <v>461</v>
      </c>
      <c r="D481" s="494"/>
      <c r="E481" s="494"/>
      <c r="F481" s="89"/>
      <c r="G481" s="89"/>
      <c r="H481" s="89"/>
      <c r="I481" s="89"/>
      <c r="J481" s="89"/>
      <c r="K481" s="89"/>
      <c r="L481" s="89"/>
      <c r="M481" s="89"/>
      <c r="N481" s="89"/>
      <c r="O481" s="89"/>
      <c r="P481" s="89"/>
      <c r="Q481" s="89"/>
      <c r="R481" s="89"/>
      <c r="S481" s="89"/>
      <c r="T481" s="89"/>
      <c r="U481" s="89"/>
      <c r="V481" s="89"/>
      <c r="W481" s="89"/>
      <c r="X481" s="494"/>
      <c r="Y481" s="494"/>
      <c r="Z481" s="89"/>
      <c r="AA481" s="89"/>
      <c r="AB481" s="89"/>
      <c r="AC481" s="89"/>
      <c r="AD481" s="89"/>
      <c r="AE481" s="89"/>
      <c r="AF481" s="89"/>
      <c r="AG481" s="89"/>
      <c r="AH481" s="89"/>
      <c r="AI481" s="89"/>
      <c r="AJ481" s="89"/>
      <c r="AK481" s="89"/>
      <c r="AL481" s="89"/>
      <c r="AM481" s="89"/>
      <c r="AN481" s="89"/>
      <c r="AO481" s="89"/>
      <c r="AP481" s="89"/>
      <c r="AQ481" s="89"/>
      <c r="AR481" s="337">
        <f t="shared" si="23"/>
        <v>0</v>
      </c>
      <c r="AS481" s="192">
        <f t="shared" si="20"/>
        <v>0</v>
      </c>
      <c r="AT481" s="337">
        <f t="shared" si="21"/>
        <v>0</v>
      </c>
    </row>
    <row r="482" spans="2:46" ht="14.65" hidden="1" customHeight="1" outlineLevel="1">
      <c r="B482" s="437">
        <f t="shared" si="22"/>
        <v>36</v>
      </c>
      <c r="C482" s="255" t="s">
        <v>461</v>
      </c>
      <c r="D482" s="494"/>
      <c r="E482" s="494"/>
      <c r="F482" s="89"/>
      <c r="G482" s="89"/>
      <c r="H482" s="89"/>
      <c r="I482" s="89"/>
      <c r="J482" s="89"/>
      <c r="K482" s="89"/>
      <c r="L482" s="89"/>
      <c r="M482" s="89"/>
      <c r="N482" s="89"/>
      <c r="O482" s="89"/>
      <c r="P482" s="89"/>
      <c r="Q482" s="89"/>
      <c r="R482" s="89"/>
      <c r="S482" s="89"/>
      <c r="T482" s="89"/>
      <c r="U482" s="89"/>
      <c r="V482" s="89"/>
      <c r="W482" s="89"/>
      <c r="X482" s="494"/>
      <c r="Y482" s="494"/>
      <c r="Z482" s="89"/>
      <c r="AA482" s="89"/>
      <c r="AB482" s="89"/>
      <c r="AC482" s="89"/>
      <c r="AD482" s="89"/>
      <c r="AE482" s="89"/>
      <c r="AF482" s="89"/>
      <c r="AG482" s="89"/>
      <c r="AH482" s="89"/>
      <c r="AI482" s="89"/>
      <c r="AJ482" s="89"/>
      <c r="AK482" s="89"/>
      <c r="AL482" s="89"/>
      <c r="AM482" s="89"/>
      <c r="AN482" s="89"/>
      <c r="AO482" s="89"/>
      <c r="AP482" s="89"/>
      <c r="AQ482" s="89"/>
      <c r="AR482" s="337">
        <f t="shared" si="23"/>
        <v>0</v>
      </c>
      <c r="AS482" s="192">
        <f t="shared" si="20"/>
        <v>0</v>
      </c>
      <c r="AT482" s="337">
        <f t="shared" si="21"/>
        <v>0</v>
      </c>
    </row>
    <row r="483" spans="2:46" ht="14.65" hidden="1" customHeight="1" outlineLevel="1">
      <c r="B483" s="437">
        <f t="shared" si="22"/>
        <v>37</v>
      </c>
      <c r="C483" s="255" t="s">
        <v>461</v>
      </c>
      <c r="D483" s="494"/>
      <c r="E483" s="494"/>
      <c r="F483" s="89"/>
      <c r="G483" s="89"/>
      <c r="H483" s="89"/>
      <c r="I483" s="89"/>
      <c r="J483" s="89"/>
      <c r="K483" s="89"/>
      <c r="L483" s="89"/>
      <c r="M483" s="89"/>
      <c r="N483" s="89"/>
      <c r="O483" s="89"/>
      <c r="P483" s="89"/>
      <c r="Q483" s="89"/>
      <c r="R483" s="89"/>
      <c r="S483" s="89"/>
      <c r="T483" s="89"/>
      <c r="U483" s="89"/>
      <c r="V483" s="89"/>
      <c r="W483" s="89"/>
      <c r="X483" s="494"/>
      <c r="Y483" s="494"/>
      <c r="Z483" s="89"/>
      <c r="AA483" s="89"/>
      <c r="AB483" s="89"/>
      <c r="AC483" s="89"/>
      <c r="AD483" s="89"/>
      <c r="AE483" s="89"/>
      <c r="AF483" s="89"/>
      <c r="AG483" s="89"/>
      <c r="AH483" s="89"/>
      <c r="AI483" s="89"/>
      <c r="AJ483" s="89"/>
      <c r="AK483" s="89"/>
      <c r="AL483" s="89"/>
      <c r="AM483" s="89"/>
      <c r="AN483" s="89"/>
      <c r="AO483" s="89"/>
      <c r="AP483" s="89"/>
      <c r="AQ483" s="89"/>
      <c r="AR483" s="337">
        <f t="shared" si="23"/>
        <v>0</v>
      </c>
      <c r="AS483" s="192">
        <f t="shared" si="20"/>
        <v>0</v>
      </c>
      <c r="AT483" s="337">
        <f t="shared" si="21"/>
        <v>0</v>
      </c>
    </row>
    <row r="484" spans="2:46" ht="14.65" hidden="1" customHeight="1" outlineLevel="1">
      <c r="B484" s="437">
        <f t="shared" si="22"/>
        <v>38</v>
      </c>
      <c r="C484" s="255" t="s">
        <v>461</v>
      </c>
      <c r="D484" s="494"/>
      <c r="E484" s="494"/>
      <c r="F484" s="89"/>
      <c r="G484" s="89"/>
      <c r="H484" s="89"/>
      <c r="I484" s="89"/>
      <c r="J484" s="89"/>
      <c r="K484" s="89"/>
      <c r="L484" s="89"/>
      <c r="M484" s="89"/>
      <c r="N484" s="89"/>
      <c r="O484" s="89"/>
      <c r="P484" s="89"/>
      <c r="Q484" s="89"/>
      <c r="R484" s="89"/>
      <c r="S484" s="89"/>
      <c r="T484" s="89"/>
      <c r="U484" s="89"/>
      <c r="V484" s="89"/>
      <c r="W484" s="89"/>
      <c r="X484" s="494"/>
      <c r="Y484" s="494"/>
      <c r="Z484" s="89"/>
      <c r="AA484" s="89"/>
      <c r="AB484" s="89"/>
      <c r="AC484" s="89"/>
      <c r="AD484" s="89"/>
      <c r="AE484" s="89"/>
      <c r="AF484" s="89"/>
      <c r="AG484" s="89"/>
      <c r="AH484" s="89"/>
      <c r="AI484" s="89"/>
      <c r="AJ484" s="89"/>
      <c r="AK484" s="89"/>
      <c r="AL484" s="89"/>
      <c r="AM484" s="89"/>
      <c r="AN484" s="89"/>
      <c r="AO484" s="89"/>
      <c r="AP484" s="89"/>
      <c r="AQ484" s="89"/>
      <c r="AR484" s="337">
        <f t="shared" si="23"/>
        <v>0</v>
      </c>
      <c r="AS484" s="192">
        <f t="shared" si="20"/>
        <v>0</v>
      </c>
      <c r="AT484" s="337">
        <f t="shared" si="21"/>
        <v>0</v>
      </c>
    </row>
    <row r="485" spans="2:46" ht="14.65" hidden="1" customHeight="1" outlineLevel="1">
      <c r="B485" s="437">
        <f t="shared" si="22"/>
        <v>39</v>
      </c>
      <c r="C485" s="255" t="s">
        <v>461</v>
      </c>
      <c r="D485" s="494"/>
      <c r="E485" s="494"/>
      <c r="F485" s="89"/>
      <c r="G485" s="89"/>
      <c r="H485" s="89"/>
      <c r="I485" s="89"/>
      <c r="J485" s="89"/>
      <c r="K485" s="89"/>
      <c r="L485" s="89"/>
      <c r="M485" s="89"/>
      <c r="N485" s="89"/>
      <c r="O485" s="89"/>
      <c r="P485" s="89"/>
      <c r="Q485" s="89"/>
      <c r="R485" s="89"/>
      <c r="S485" s="89"/>
      <c r="T485" s="89"/>
      <c r="U485" s="89"/>
      <c r="V485" s="89"/>
      <c r="W485" s="89"/>
      <c r="X485" s="494"/>
      <c r="Y485" s="494"/>
      <c r="Z485" s="89"/>
      <c r="AA485" s="89"/>
      <c r="AB485" s="89"/>
      <c r="AC485" s="89"/>
      <c r="AD485" s="89"/>
      <c r="AE485" s="89"/>
      <c r="AF485" s="89"/>
      <c r="AG485" s="89"/>
      <c r="AH485" s="89"/>
      <c r="AI485" s="89"/>
      <c r="AJ485" s="89"/>
      <c r="AK485" s="89"/>
      <c r="AL485" s="89"/>
      <c r="AM485" s="89"/>
      <c r="AN485" s="89"/>
      <c r="AO485" s="89"/>
      <c r="AP485" s="89"/>
      <c r="AQ485" s="89"/>
      <c r="AR485" s="337">
        <f t="shared" si="23"/>
        <v>0</v>
      </c>
      <c r="AS485" s="192">
        <f t="shared" si="20"/>
        <v>0</v>
      </c>
      <c r="AT485" s="337">
        <f t="shared" si="21"/>
        <v>0</v>
      </c>
    </row>
    <row r="486" spans="2:46" ht="14.65" hidden="1" customHeight="1" outlineLevel="1">
      <c r="B486" s="437">
        <f t="shared" si="22"/>
        <v>40</v>
      </c>
      <c r="C486" s="255" t="s">
        <v>461</v>
      </c>
      <c r="D486" s="494"/>
      <c r="E486" s="494"/>
      <c r="F486" s="89"/>
      <c r="G486" s="89"/>
      <c r="H486" s="89"/>
      <c r="I486" s="89"/>
      <c r="J486" s="89"/>
      <c r="K486" s="89"/>
      <c r="L486" s="89"/>
      <c r="M486" s="89"/>
      <c r="N486" s="89"/>
      <c r="O486" s="89"/>
      <c r="P486" s="89"/>
      <c r="Q486" s="89"/>
      <c r="R486" s="89"/>
      <c r="S486" s="89"/>
      <c r="T486" s="89"/>
      <c r="U486" s="89"/>
      <c r="V486" s="89"/>
      <c r="W486" s="89"/>
      <c r="X486" s="494"/>
      <c r="Y486" s="494"/>
      <c r="Z486" s="89"/>
      <c r="AA486" s="89"/>
      <c r="AB486" s="89"/>
      <c r="AC486" s="89"/>
      <c r="AD486" s="89"/>
      <c r="AE486" s="89"/>
      <c r="AF486" s="89"/>
      <c r="AG486" s="89"/>
      <c r="AH486" s="89"/>
      <c r="AI486" s="89"/>
      <c r="AJ486" s="89"/>
      <c r="AK486" s="89"/>
      <c r="AL486" s="89"/>
      <c r="AM486" s="89"/>
      <c r="AN486" s="89"/>
      <c r="AO486" s="89"/>
      <c r="AP486" s="89"/>
      <c r="AQ486" s="89"/>
      <c r="AR486" s="337">
        <f t="shared" si="23"/>
        <v>0</v>
      </c>
      <c r="AS486" s="192">
        <f t="shared" si="20"/>
        <v>0</v>
      </c>
      <c r="AT486" s="337">
        <f t="shared" si="21"/>
        <v>0</v>
      </c>
    </row>
    <row r="487" spans="2:46" ht="14.65" hidden="1" customHeight="1" outlineLevel="1">
      <c r="B487" s="437">
        <f t="shared" si="22"/>
        <v>41</v>
      </c>
      <c r="C487" s="255" t="s">
        <v>461</v>
      </c>
      <c r="D487" s="494"/>
      <c r="E487" s="494"/>
      <c r="F487" s="89"/>
      <c r="G487" s="89"/>
      <c r="H487" s="89"/>
      <c r="I487" s="89"/>
      <c r="J487" s="89"/>
      <c r="K487" s="89"/>
      <c r="L487" s="89"/>
      <c r="M487" s="89"/>
      <c r="N487" s="89"/>
      <c r="O487" s="89"/>
      <c r="P487" s="89"/>
      <c r="Q487" s="89"/>
      <c r="R487" s="89"/>
      <c r="S487" s="89"/>
      <c r="T487" s="89"/>
      <c r="U487" s="89"/>
      <c r="V487" s="89"/>
      <c r="W487" s="89"/>
      <c r="X487" s="494"/>
      <c r="Y487" s="494"/>
      <c r="Z487" s="89"/>
      <c r="AA487" s="89"/>
      <c r="AB487" s="89"/>
      <c r="AC487" s="89"/>
      <c r="AD487" s="89"/>
      <c r="AE487" s="89"/>
      <c r="AF487" s="89"/>
      <c r="AG487" s="89"/>
      <c r="AH487" s="89"/>
      <c r="AI487" s="89"/>
      <c r="AJ487" s="89"/>
      <c r="AK487" s="89"/>
      <c r="AL487" s="89"/>
      <c r="AM487" s="89"/>
      <c r="AN487" s="89"/>
      <c r="AO487" s="89"/>
      <c r="AP487" s="89"/>
      <c r="AQ487" s="89"/>
      <c r="AR487" s="337">
        <f t="shared" si="23"/>
        <v>0</v>
      </c>
      <c r="AS487" s="192">
        <f t="shared" si="20"/>
        <v>0</v>
      </c>
      <c r="AT487" s="337">
        <f t="shared" si="21"/>
        <v>0</v>
      </c>
    </row>
    <row r="488" spans="2:46" ht="14.65" hidden="1" customHeight="1" outlineLevel="1">
      <c r="B488" s="437">
        <f t="shared" si="22"/>
        <v>42</v>
      </c>
      <c r="C488" s="255" t="s">
        <v>461</v>
      </c>
      <c r="D488" s="494"/>
      <c r="E488" s="494"/>
      <c r="F488" s="89"/>
      <c r="G488" s="89"/>
      <c r="H488" s="89"/>
      <c r="I488" s="89"/>
      <c r="J488" s="89"/>
      <c r="K488" s="89"/>
      <c r="L488" s="89"/>
      <c r="M488" s="89"/>
      <c r="N488" s="89"/>
      <c r="O488" s="89"/>
      <c r="P488" s="89"/>
      <c r="Q488" s="89"/>
      <c r="R488" s="89"/>
      <c r="S488" s="89"/>
      <c r="T488" s="89"/>
      <c r="U488" s="89"/>
      <c r="V488" s="89"/>
      <c r="W488" s="89"/>
      <c r="X488" s="494"/>
      <c r="Y488" s="494"/>
      <c r="Z488" s="89"/>
      <c r="AA488" s="89"/>
      <c r="AB488" s="89"/>
      <c r="AC488" s="89"/>
      <c r="AD488" s="89"/>
      <c r="AE488" s="89"/>
      <c r="AF488" s="89"/>
      <c r="AG488" s="89"/>
      <c r="AH488" s="89"/>
      <c r="AI488" s="89"/>
      <c r="AJ488" s="89"/>
      <c r="AK488" s="89"/>
      <c r="AL488" s="89"/>
      <c r="AM488" s="89"/>
      <c r="AN488" s="89"/>
      <c r="AO488" s="89"/>
      <c r="AP488" s="89"/>
      <c r="AQ488" s="89"/>
      <c r="AR488" s="337">
        <f t="shared" si="23"/>
        <v>0</v>
      </c>
      <c r="AS488" s="192">
        <f t="shared" si="20"/>
        <v>0</v>
      </c>
      <c r="AT488" s="337">
        <f t="shared" si="21"/>
        <v>0</v>
      </c>
    </row>
    <row r="489" spans="2:46" ht="14.65" hidden="1" customHeight="1" outlineLevel="1">
      <c r="B489" s="437">
        <f t="shared" si="22"/>
        <v>43</v>
      </c>
      <c r="C489" s="255" t="s">
        <v>461</v>
      </c>
      <c r="D489" s="494"/>
      <c r="E489" s="494"/>
      <c r="F489" s="89"/>
      <c r="G489" s="89"/>
      <c r="H489" s="89"/>
      <c r="I489" s="89"/>
      <c r="J489" s="89"/>
      <c r="K489" s="89"/>
      <c r="L489" s="89"/>
      <c r="M489" s="89"/>
      <c r="N489" s="89"/>
      <c r="O489" s="89"/>
      <c r="P489" s="89"/>
      <c r="Q489" s="89"/>
      <c r="R489" s="89"/>
      <c r="S489" s="89"/>
      <c r="T489" s="89"/>
      <c r="U489" s="89"/>
      <c r="V489" s="89"/>
      <c r="W489" s="89"/>
      <c r="X489" s="494"/>
      <c r="Y489" s="494"/>
      <c r="Z489" s="89"/>
      <c r="AA489" s="89"/>
      <c r="AB489" s="89"/>
      <c r="AC489" s="89"/>
      <c r="AD489" s="89"/>
      <c r="AE489" s="89"/>
      <c r="AF489" s="89"/>
      <c r="AG489" s="89"/>
      <c r="AH489" s="89"/>
      <c r="AI489" s="89"/>
      <c r="AJ489" s="89"/>
      <c r="AK489" s="89"/>
      <c r="AL489" s="89"/>
      <c r="AM489" s="89"/>
      <c r="AN489" s="89"/>
      <c r="AO489" s="89"/>
      <c r="AP489" s="89"/>
      <c r="AQ489" s="89"/>
      <c r="AR489" s="337">
        <f t="shared" si="23"/>
        <v>0</v>
      </c>
      <c r="AS489" s="192">
        <f t="shared" si="20"/>
        <v>0</v>
      </c>
      <c r="AT489" s="337">
        <f t="shared" si="21"/>
        <v>0</v>
      </c>
    </row>
    <row r="490" spans="2:46" ht="14.65" hidden="1" customHeight="1" outlineLevel="1">
      <c r="B490" s="437">
        <f t="shared" si="22"/>
        <v>44</v>
      </c>
      <c r="C490" s="255" t="s">
        <v>461</v>
      </c>
      <c r="D490" s="494"/>
      <c r="E490" s="494"/>
      <c r="F490" s="89"/>
      <c r="G490" s="89"/>
      <c r="H490" s="89"/>
      <c r="I490" s="89"/>
      <c r="J490" s="89"/>
      <c r="K490" s="89"/>
      <c r="L490" s="89"/>
      <c r="M490" s="89"/>
      <c r="N490" s="89"/>
      <c r="O490" s="89"/>
      <c r="P490" s="89"/>
      <c r="Q490" s="89"/>
      <c r="R490" s="89"/>
      <c r="S490" s="89"/>
      <c r="T490" s="89"/>
      <c r="U490" s="89"/>
      <c r="V490" s="89"/>
      <c r="W490" s="89"/>
      <c r="X490" s="494"/>
      <c r="Y490" s="494"/>
      <c r="Z490" s="89"/>
      <c r="AA490" s="89"/>
      <c r="AB490" s="89"/>
      <c r="AC490" s="89"/>
      <c r="AD490" s="89"/>
      <c r="AE490" s="89"/>
      <c r="AF490" s="89"/>
      <c r="AG490" s="89"/>
      <c r="AH490" s="89"/>
      <c r="AI490" s="89"/>
      <c r="AJ490" s="89"/>
      <c r="AK490" s="89"/>
      <c r="AL490" s="89"/>
      <c r="AM490" s="89"/>
      <c r="AN490" s="89"/>
      <c r="AO490" s="89"/>
      <c r="AP490" s="89"/>
      <c r="AQ490" s="89"/>
      <c r="AR490" s="337">
        <f t="shared" si="23"/>
        <v>0</v>
      </c>
      <c r="AS490" s="192">
        <f t="shared" si="20"/>
        <v>0</v>
      </c>
      <c r="AT490" s="337">
        <f t="shared" si="21"/>
        <v>0</v>
      </c>
    </row>
    <row r="491" spans="2:46" ht="14.65" hidden="1" customHeight="1" outlineLevel="1">
      <c r="B491" s="437">
        <f t="shared" si="22"/>
        <v>45</v>
      </c>
      <c r="C491" s="255" t="s">
        <v>461</v>
      </c>
      <c r="D491" s="494"/>
      <c r="E491" s="494"/>
      <c r="F491" s="89"/>
      <c r="G491" s="89"/>
      <c r="H491" s="89"/>
      <c r="I491" s="89"/>
      <c r="J491" s="89"/>
      <c r="K491" s="89"/>
      <c r="L491" s="89"/>
      <c r="M491" s="89"/>
      <c r="N491" s="89"/>
      <c r="O491" s="89"/>
      <c r="P491" s="89"/>
      <c r="Q491" s="89"/>
      <c r="R491" s="89"/>
      <c r="S491" s="89"/>
      <c r="T491" s="89"/>
      <c r="U491" s="89"/>
      <c r="V491" s="89"/>
      <c r="W491" s="89"/>
      <c r="X491" s="494"/>
      <c r="Y491" s="494"/>
      <c r="Z491" s="89"/>
      <c r="AA491" s="89"/>
      <c r="AB491" s="89"/>
      <c r="AC491" s="89"/>
      <c r="AD491" s="89"/>
      <c r="AE491" s="89"/>
      <c r="AF491" s="89"/>
      <c r="AG491" s="89"/>
      <c r="AH491" s="89"/>
      <c r="AI491" s="89"/>
      <c r="AJ491" s="89"/>
      <c r="AK491" s="89"/>
      <c r="AL491" s="89"/>
      <c r="AM491" s="89"/>
      <c r="AN491" s="89"/>
      <c r="AO491" s="89"/>
      <c r="AP491" s="89"/>
      <c r="AQ491" s="89"/>
      <c r="AR491" s="337">
        <f t="shared" si="23"/>
        <v>0</v>
      </c>
      <c r="AS491" s="192">
        <f t="shared" si="20"/>
        <v>0</v>
      </c>
      <c r="AT491" s="337">
        <f t="shared" si="21"/>
        <v>0</v>
      </c>
    </row>
    <row r="492" spans="2:46" ht="14.65" hidden="1" customHeight="1" outlineLevel="1">
      <c r="B492" s="437">
        <f t="shared" si="22"/>
        <v>46</v>
      </c>
      <c r="C492" s="255" t="s">
        <v>461</v>
      </c>
      <c r="D492" s="494"/>
      <c r="E492" s="494"/>
      <c r="F492" s="89"/>
      <c r="G492" s="89"/>
      <c r="H492" s="89"/>
      <c r="I492" s="89"/>
      <c r="J492" s="89"/>
      <c r="K492" s="89"/>
      <c r="L492" s="89"/>
      <c r="M492" s="89"/>
      <c r="N492" s="89"/>
      <c r="O492" s="89"/>
      <c r="P492" s="89"/>
      <c r="Q492" s="89"/>
      <c r="R492" s="89"/>
      <c r="S492" s="89"/>
      <c r="T492" s="89"/>
      <c r="U492" s="89"/>
      <c r="V492" s="89"/>
      <c r="W492" s="89"/>
      <c r="X492" s="494"/>
      <c r="Y492" s="494"/>
      <c r="Z492" s="89"/>
      <c r="AA492" s="89"/>
      <c r="AB492" s="89"/>
      <c r="AC492" s="89"/>
      <c r="AD492" s="89"/>
      <c r="AE492" s="89"/>
      <c r="AF492" s="89"/>
      <c r="AG492" s="89"/>
      <c r="AH492" s="89"/>
      <c r="AI492" s="89"/>
      <c r="AJ492" s="89"/>
      <c r="AK492" s="89"/>
      <c r="AL492" s="89"/>
      <c r="AM492" s="89"/>
      <c r="AN492" s="89"/>
      <c r="AO492" s="89"/>
      <c r="AP492" s="89"/>
      <c r="AQ492" s="89"/>
      <c r="AR492" s="337">
        <f t="shared" si="23"/>
        <v>0</v>
      </c>
      <c r="AS492" s="192">
        <f t="shared" si="20"/>
        <v>0</v>
      </c>
      <c r="AT492" s="337">
        <f t="shared" si="21"/>
        <v>0</v>
      </c>
    </row>
    <row r="493" spans="2:46" ht="14.65" hidden="1" customHeight="1" outlineLevel="1">
      <c r="B493" s="437">
        <f t="shared" si="22"/>
        <v>47</v>
      </c>
      <c r="C493" s="255" t="s">
        <v>461</v>
      </c>
      <c r="D493" s="494"/>
      <c r="E493" s="494"/>
      <c r="F493" s="89"/>
      <c r="G493" s="89"/>
      <c r="H493" s="89"/>
      <c r="I493" s="89"/>
      <c r="J493" s="89"/>
      <c r="K493" s="89"/>
      <c r="L493" s="89"/>
      <c r="M493" s="89"/>
      <c r="N493" s="89"/>
      <c r="O493" s="89"/>
      <c r="P493" s="89"/>
      <c r="Q493" s="89"/>
      <c r="R493" s="89"/>
      <c r="S493" s="89"/>
      <c r="T493" s="89"/>
      <c r="U493" s="89"/>
      <c r="V493" s="89"/>
      <c r="W493" s="89"/>
      <c r="X493" s="494"/>
      <c r="Y493" s="494"/>
      <c r="Z493" s="89"/>
      <c r="AA493" s="89"/>
      <c r="AB493" s="89"/>
      <c r="AC493" s="89"/>
      <c r="AD493" s="89"/>
      <c r="AE493" s="89"/>
      <c r="AF493" s="89"/>
      <c r="AG493" s="89"/>
      <c r="AH493" s="89"/>
      <c r="AI493" s="89"/>
      <c r="AJ493" s="89"/>
      <c r="AK493" s="89"/>
      <c r="AL493" s="89"/>
      <c r="AM493" s="89"/>
      <c r="AN493" s="89"/>
      <c r="AO493" s="89"/>
      <c r="AP493" s="89"/>
      <c r="AQ493" s="89"/>
      <c r="AR493" s="337">
        <f t="shared" si="23"/>
        <v>0</v>
      </c>
      <c r="AS493" s="192">
        <f t="shared" si="20"/>
        <v>0</v>
      </c>
      <c r="AT493" s="337">
        <f t="shared" si="21"/>
        <v>0</v>
      </c>
    </row>
    <row r="494" spans="2:46" ht="14.65" hidden="1" customHeight="1" outlineLevel="1">
      <c r="B494" s="437">
        <f t="shared" si="22"/>
        <v>48</v>
      </c>
      <c r="C494" s="255" t="s">
        <v>461</v>
      </c>
      <c r="D494" s="494"/>
      <c r="E494" s="494"/>
      <c r="F494" s="89"/>
      <c r="G494" s="89"/>
      <c r="H494" s="89"/>
      <c r="I494" s="89"/>
      <c r="J494" s="89"/>
      <c r="K494" s="89"/>
      <c r="L494" s="89"/>
      <c r="M494" s="89"/>
      <c r="N494" s="89"/>
      <c r="O494" s="89"/>
      <c r="P494" s="89"/>
      <c r="Q494" s="89"/>
      <c r="R494" s="89"/>
      <c r="S494" s="89"/>
      <c r="T494" s="89"/>
      <c r="U494" s="89"/>
      <c r="V494" s="89"/>
      <c r="W494" s="89"/>
      <c r="X494" s="494"/>
      <c r="Y494" s="494"/>
      <c r="Z494" s="89"/>
      <c r="AA494" s="89"/>
      <c r="AB494" s="89"/>
      <c r="AC494" s="89"/>
      <c r="AD494" s="89"/>
      <c r="AE494" s="89"/>
      <c r="AF494" s="89"/>
      <c r="AG494" s="89"/>
      <c r="AH494" s="89"/>
      <c r="AI494" s="89"/>
      <c r="AJ494" s="89"/>
      <c r="AK494" s="89"/>
      <c r="AL494" s="89"/>
      <c r="AM494" s="89"/>
      <c r="AN494" s="89"/>
      <c r="AO494" s="89"/>
      <c r="AP494" s="89"/>
      <c r="AQ494" s="89"/>
      <c r="AR494" s="337">
        <f t="shared" si="23"/>
        <v>0</v>
      </c>
      <c r="AS494" s="192">
        <f t="shared" si="20"/>
        <v>0</v>
      </c>
      <c r="AT494" s="337">
        <f t="shared" si="21"/>
        <v>0</v>
      </c>
    </row>
    <row r="495" spans="2:46" ht="14.65" hidden="1" customHeight="1" outlineLevel="1">
      <c r="B495" s="437">
        <f t="shared" si="22"/>
        <v>49</v>
      </c>
      <c r="C495" s="255" t="s">
        <v>461</v>
      </c>
      <c r="D495" s="494"/>
      <c r="E495" s="494"/>
      <c r="F495" s="89"/>
      <c r="G495" s="89"/>
      <c r="H495" s="89"/>
      <c r="I495" s="89"/>
      <c r="J495" s="89"/>
      <c r="K495" s="89"/>
      <c r="L495" s="89"/>
      <c r="M495" s="89"/>
      <c r="N495" s="89"/>
      <c r="O495" s="89"/>
      <c r="P495" s="89"/>
      <c r="Q495" s="89"/>
      <c r="R495" s="89"/>
      <c r="S495" s="89"/>
      <c r="T495" s="89"/>
      <c r="U495" s="89"/>
      <c r="V495" s="89"/>
      <c r="W495" s="89"/>
      <c r="X495" s="494"/>
      <c r="Y495" s="494"/>
      <c r="Z495" s="89"/>
      <c r="AA495" s="89"/>
      <c r="AB495" s="89"/>
      <c r="AC495" s="89"/>
      <c r="AD495" s="89"/>
      <c r="AE495" s="89"/>
      <c r="AF495" s="89"/>
      <c r="AG495" s="89"/>
      <c r="AH495" s="89"/>
      <c r="AI495" s="89"/>
      <c r="AJ495" s="89"/>
      <c r="AK495" s="89"/>
      <c r="AL495" s="89"/>
      <c r="AM495" s="89"/>
      <c r="AN495" s="89"/>
      <c r="AO495" s="89"/>
      <c r="AP495" s="89"/>
      <c r="AQ495" s="89"/>
      <c r="AR495" s="337">
        <f t="shared" si="23"/>
        <v>0</v>
      </c>
      <c r="AS495" s="192">
        <f t="shared" si="20"/>
        <v>0</v>
      </c>
      <c r="AT495" s="337">
        <f t="shared" si="21"/>
        <v>0</v>
      </c>
    </row>
    <row r="496" spans="2:46" ht="14.65" hidden="1" customHeight="1" outlineLevel="1">
      <c r="B496" s="437">
        <f t="shared" si="22"/>
        <v>50</v>
      </c>
      <c r="C496" s="255" t="s">
        <v>461</v>
      </c>
      <c r="D496" s="494"/>
      <c r="E496" s="494"/>
      <c r="F496" s="89"/>
      <c r="G496" s="89"/>
      <c r="H496" s="89"/>
      <c r="I496" s="89"/>
      <c r="J496" s="89"/>
      <c r="K496" s="89"/>
      <c r="L496" s="89"/>
      <c r="M496" s="89"/>
      <c r="N496" s="89"/>
      <c r="O496" s="89"/>
      <c r="P496" s="89"/>
      <c r="Q496" s="89"/>
      <c r="R496" s="89"/>
      <c r="S496" s="89"/>
      <c r="T496" s="89"/>
      <c r="U496" s="89"/>
      <c r="V496" s="89"/>
      <c r="W496" s="89"/>
      <c r="X496" s="494"/>
      <c r="Y496" s="494"/>
      <c r="Z496" s="89"/>
      <c r="AA496" s="89"/>
      <c r="AB496" s="89"/>
      <c r="AC496" s="89"/>
      <c r="AD496" s="89"/>
      <c r="AE496" s="89"/>
      <c r="AF496" s="89"/>
      <c r="AG496" s="89"/>
      <c r="AH496" s="89"/>
      <c r="AI496" s="89"/>
      <c r="AJ496" s="89"/>
      <c r="AK496" s="89"/>
      <c r="AL496" s="89"/>
      <c r="AM496" s="89"/>
      <c r="AN496" s="89"/>
      <c r="AO496" s="89"/>
      <c r="AP496" s="89"/>
      <c r="AQ496" s="89"/>
      <c r="AR496" s="337">
        <f t="shared" si="23"/>
        <v>0</v>
      </c>
      <c r="AS496" s="192">
        <f t="shared" si="20"/>
        <v>0</v>
      </c>
      <c r="AT496" s="337">
        <f t="shared" si="21"/>
        <v>0</v>
      </c>
    </row>
    <row r="497" spans="2:46" ht="14.65" hidden="1" customHeight="1" outlineLevel="1">
      <c r="B497" s="437">
        <f t="shared" si="22"/>
        <v>51</v>
      </c>
      <c r="C497" s="255" t="s">
        <v>461</v>
      </c>
      <c r="D497" s="494"/>
      <c r="E497" s="494"/>
      <c r="F497" s="89"/>
      <c r="G497" s="89"/>
      <c r="H497" s="89"/>
      <c r="I497" s="89"/>
      <c r="J497" s="89"/>
      <c r="K497" s="89"/>
      <c r="L497" s="89"/>
      <c r="M497" s="89"/>
      <c r="N497" s="89"/>
      <c r="O497" s="89"/>
      <c r="P497" s="89"/>
      <c r="Q497" s="89"/>
      <c r="R497" s="89"/>
      <c r="S497" s="89"/>
      <c r="T497" s="89"/>
      <c r="U497" s="89"/>
      <c r="V497" s="89"/>
      <c r="W497" s="89"/>
      <c r="X497" s="494"/>
      <c r="Y497" s="494"/>
      <c r="Z497" s="89"/>
      <c r="AA497" s="89"/>
      <c r="AB497" s="89"/>
      <c r="AC497" s="89"/>
      <c r="AD497" s="89"/>
      <c r="AE497" s="89"/>
      <c r="AF497" s="89"/>
      <c r="AG497" s="89"/>
      <c r="AH497" s="89"/>
      <c r="AI497" s="89"/>
      <c r="AJ497" s="89"/>
      <c r="AK497" s="89"/>
      <c r="AL497" s="89"/>
      <c r="AM497" s="89"/>
      <c r="AN497" s="89"/>
      <c r="AO497" s="89"/>
      <c r="AP497" s="89"/>
      <c r="AQ497" s="89"/>
      <c r="AR497" s="337">
        <f t="shared" si="23"/>
        <v>0</v>
      </c>
      <c r="AS497" s="192">
        <f t="shared" si="20"/>
        <v>0</v>
      </c>
      <c r="AT497" s="337">
        <f t="shared" si="21"/>
        <v>0</v>
      </c>
    </row>
    <row r="498" spans="2:46" ht="14.65" hidden="1" customHeight="1" outlineLevel="1">
      <c r="B498" s="437">
        <f t="shared" si="22"/>
        <v>52</v>
      </c>
      <c r="C498" s="255" t="s">
        <v>461</v>
      </c>
      <c r="D498" s="494"/>
      <c r="E498" s="494"/>
      <c r="F498" s="89"/>
      <c r="G498" s="89"/>
      <c r="H498" s="89"/>
      <c r="I498" s="89"/>
      <c r="J498" s="89"/>
      <c r="K498" s="89"/>
      <c r="L498" s="89"/>
      <c r="M498" s="89"/>
      <c r="N498" s="89"/>
      <c r="O498" s="89"/>
      <c r="P498" s="89"/>
      <c r="Q498" s="89"/>
      <c r="R498" s="89"/>
      <c r="S498" s="89"/>
      <c r="T498" s="89"/>
      <c r="U498" s="89"/>
      <c r="V498" s="89"/>
      <c r="W498" s="89"/>
      <c r="X498" s="494"/>
      <c r="Y498" s="494"/>
      <c r="Z498" s="89"/>
      <c r="AA498" s="89"/>
      <c r="AB498" s="89"/>
      <c r="AC498" s="89"/>
      <c r="AD498" s="89"/>
      <c r="AE498" s="89"/>
      <c r="AF498" s="89"/>
      <c r="AG498" s="89"/>
      <c r="AH498" s="89"/>
      <c r="AI498" s="89"/>
      <c r="AJ498" s="89"/>
      <c r="AK498" s="89"/>
      <c r="AL498" s="89"/>
      <c r="AM498" s="89"/>
      <c r="AN498" s="89"/>
      <c r="AO498" s="89"/>
      <c r="AP498" s="89"/>
      <c r="AQ498" s="89"/>
      <c r="AR498" s="337">
        <f t="shared" si="23"/>
        <v>0</v>
      </c>
      <c r="AS498" s="192">
        <f t="shared" si="20"/>
        <v>0</v>
      </c>
      <c r="AT498" s="337">
        <f t="shared" si="21"/>
        <v>0</v>
      </c>
    </row>
    <row r="499" spans="2:46" ht="14.65" hidden="1" customHeight="1" outlineLevel="1">
      <c r="B499" s="437">
        <f t="shared" si="22"/>
        <v>53</v>
      </c>
      <c r="C499" s="255" t="s">
        <v>461</v>
      </c>
      <c r="D499" s="494"/>
      <c r="E499" s="494"/>
      <c r="F499" s="89"/>
      <c r="G499" s="89"/>
      <c r="H499" s="89"/>
      <c r="I499" s="89"/>
      <c r="J499" s="89"/>
      <c r="K499" s="89"/>
      <c r="L499" s="89"/>
      <c r="M499" s="89"/>
      <c r="N499" s="89"/>
      <c r="O499" s="89"/>
      <c r="P499" s="89"/>
      <c r="Q499" s="89"/>
      <c r="R499" s="89"/>
      <c r="S499" s="89"/>
      <c r="T499" s="89"/>
      <c r="U499" s="89"/>
      <c r="V499" s="89"/>
      <c r="W499" s="89"/>
      <c r="X499" s="494"/>
      <c r="Y499" s="494"/>
      <c r="Z499" s="89"/>
      <c r="AA499" s="89"/>
      <c r="AB499" s="89"/>
      <c r="AC499" s="89"/>
      <c r="AD499" s="89"/>
      <c r="AE499" s="89"/>
      <c r="AF499" s="89"/>
      <c r="AG499" s="89"/>
      <c r="AH499" s="89"/>
      <c r="AI499" s="89"/>
      <c r="AJ499" s="89"/>
      <c r="AK499" s="89"/>
      <c r="AL499" s="89"/>
      <c r="AM499" s="89"/>
      <c r="AN499" s="89"/>
      <c r="AO499" s="89"/>
      <c r="AP499" s="89"/>
      <c r="AQ499" s="89"/>
      <c r="AR499" s="337">
        <f t="shared" si="23"/>
        <v>0</v>
      </c>
      <c r="AS499" s="192">
        <f t="shared" si="20"/>
        <v>0</v>
      </c>
      <c r="AT499" s="337">
        <f t="shared" si="21"/>
        <v>0</v>
      </c>
    </row>
    <row r="500" spans="2:46" ht="14.65" hidden="1" customHeight="1" outlineLevel="1">
      <c r="B500" s="437">
        <f t="shared" si="22"/>
        <v>54</v>
      </c>
      <c r="C500" s="255" t="s">
        <v>461</v>
      </c>
      <c r="D500" s="494"/>
      <c r="E500" s="494"/>
      <c r="F500" s="89"/>
      <c r="G500" s="89"/>
      <c r="H500" s="89"/>
      <c r="I500" s="89"/>
      <c r="J500" s="89"/>
      <c r="K500" s="89"/>
      <c r="L500" s="89"/>
      <c r="M500" s="89"/>
      <c r="N500" s="89"/>
      <c r="O500" s="89"/>
      <c r="P500" s="89"/>
      <c r="Q500" s="89"/>
      <c r="R500" s="89"/>
      <c r="S500" s="89"/>
      <c r="T500" s="89"/>
      <c r="U500" s="89"/>
      <c r="V500" s="89"/>
      <c r="W500" s="89"/>
      <c r="X500" s="494"/>
      <c r="Y500" s="494"/>
      <c r="Z500" s="89"/>
      <c r="AA500" s="89"/>
      <c r="AB500" s="89"/>
      <c r="AC500" s="89"/>
      <c r="AD500" s="89"/>
      <c r="AE500" s="89"/>
      <c r="AF500" s="89"/>
      <c r="AG500" s="89"/>
      <c r="AH500" s="89"/>
      <c r="AI500" s="89"/>
      <c r="AJ500" s="89"/>
      <c r="AK500" s="89"/>
      <c r="AL500" s="89"/>
      <c r="AM500" s="89"/>
      <c r="AN500" s="89"/>
      <c r="AO500" s="89"/>
      <c r="AP500" s="89"/>
      <c r="AQ500" s="89"/>
      <c r="AR500" s="337">
        <f t="shared" si="23"/>
        <v>0</v>
      </c>
      <c r="AS500" s="192">
        <f t="shared" si="20"/>
        <v>0</v>
      </c>
      <c r="AT500" s="337">
        <f t="shared" si="21"/>
        <v>0</v>
      </c>
    </row>
    <row r="501" spans="2:46" ht="14.65" hidden="1" customHeight="1" outlineLevel="1">
      <c r="B501" s="437">
        <f t="shared" si="22"/>
        <v>55</v>
      </c>
      <c r="C501" s="255" t="s">
        <v>461</v>
      </c>
      <c r="D501" s="494"/>
      <c r="E501" s="494"/>
      <c r="F501" s="89"/>
      <c r="G501" s="89"/>
      <c r="H501" s="89"/>
      <c r="I501" s="89"/>
      <c r="J501" s="89"/>
      <c r="K501" s="89"/>
      <c r="L501" s="89"/>
      <c r="M501" s="89"/>
      <c r="N501" s="89"/>
      <c r="O501" s="89"/>
      <c r="P501" s="89"/>
      <c r="Q501" s="89"/>
      <c r="R501" s="89"/>
      <c r="S501" s="89"/>
      <c r="T501" s="89"/>
      <c r="U501" s="89"/>
      <c r="V501" s="89"/>
      <c r="W501" s="89"/>
      <c r="X501" s="494"/>
      <c r="Y501" s="494"/>
      <c r="Z501" s="89"/>
      <c r="AA501" s="89"/>
      <c r="AB501" s="89"/>
      <c r="AC501" s="89"/>
      <c r="AD501" s="89"/>
      <c r="AE501" s="89"/>
      <c r="AF501" s="89"/>
      <c r="AG501" s="89"/>
      <c r="AH501" s="89"/>
      <c r="AI501" s="89"/>
      <c r="AJ501" s="89"/>
      <c r="AK501" s="89"/>
      <c r="AL501" s="89"/>
      <c r="AM501" s="89"/>
      <c r="AN501" s="89"/>
      <c r="AO501" s="89"/>
      <c r="AP501" s="89"/>
      <c r="AQ501" s="89"/>
      <c r="AR501" s="337">
        <f t="shared" si="23"/>
        <v>0</v>
      </c>
      <c r="AS501" s="192">
        <f t="shared" si="20"/>
        <v>0</v>
      </c>
      <c r="AT501" s="337">
        <f t="shared" si="21"/>
        <v>0</v>
      </c>
    </row>
    <row r="502" spans="2:46" ht="14.65" hidden="1" customHeight="1" outlineLevel="1">
      <c r="B502" s="437">
        <f t="shared" si="22"/>
        <v>56</v>
      </c>
      <c r="C502" s="255" t="s">
        <v>461</v>
      </c>
      <c r="D502" s="494"/>
      <c r="E502" s="494"/>
      <c r="F502" s="89"/>
      <c r="G502" s="89"/>
      <c r="H502" s="89"/>
      <c r="I502" s="89"/>
      <c r="J502" s="89"/>
      <c r="K502" s="89"/>
      <c r="L502" s="89"/>
      <c r="M502" s="89"/>
      <c r="N502" s="89"/>
      <c r="O502" s="89"/>
      <c r="P502" s="89"/>
      <c r="Q502" s="89"/>
      <c r="R502" s="89"/>
      <c r="S502" s="89"/>
      <c r="T502" s="89"/>
      <c r="U502" s="89"/>
      <c r="V502" s="89"/>
      <c r="W502" s="89"/>
      <c r="X502" s="494"/>
      <c r="Y502" s="494"/>
      <c r="Z502" s="89"/>
      <c r="AA502" s="89"/>
      <c r="AB502" s="89"/>
      <c r="AC502" s="89"/>
      <c r="AD502" s="89"/>
      <c r="AE502" s="89"/>
      <c r="AF502" s="89"/>
      <c r="AG502" s="89"/>
      <c r="AH502" s="89"/>
      <c r="AI502" s="89"/>
      <c r="AJ502" s="89"/>
      <c r="AK502" s="89"/>
      <c r="AL502" s="89"/>
      <c r="AM502" s="89"/>
      <c r="AN502" s="89"/>
      <c r="AO502" s="89"/>
      <c r="AP502" s="89"/>
      <c r="AQ502" s="89"/>
      <c r="AR502" s="337">
        <f t="shared" si="23"/>
        <v>0</v>
      </c>
      <c r="AS502" s="192">
        <f t="shared" si="20"/>
        <v>0</v>
      </c>
      <c r="AT502" s="337">
        <f t="shared" si="21"/>
        <v>0</v>
      </c>
    </row>
    <row r="503" spans="2:46" ht="14.65" hidden="1" customHeight="1" outlineLevel="1">
      <c r="B503" s="437">
        <f t="shared" si="22"/>
        <v>57</v>
      </c>
      <c r="C503" s="255" t="s">
        <v>461</v>
      </c>
      <c r="D503" s="494"/>
      <c r="E503" s="494"/>
      <c r="F503" s="89"/>
      <c r="G503" s="89"/>
      <c r="H503" s="89"/>
      <c r="I503" s="89"/>
      <c r="J503" s="89"/>
      <c r="K503" s="89"/>
      <c r="L503" s="89"/>
      <c r="M503" s="89"/>
      <c r="N503" s="89"/>
      <c r="O503" s="89"/>
      <c r="P503" s="89"/>
      <c r="Q503" s="89"/>
      <c r="R503" s="89"/>
      <c r="S503" s="89"/>
      <c r="T503" s="89"/>
      <c r="U503" s="89"/>
      <c r="V503" s="89"/>
      <c r="W503" s="89"/>
      <c r="X503" s="494"/>
      <c r="Y503" s="494"/>
      <c r="Z503" s="89"/>
      <c r="AA503" s="89"/>
      <c r="AB503" s="89"/>
      <c r="AC503" s="89"/>
      <c r="AD503" s="89"/>
      <c r="AE503" s="89"/>
      <c r="AF503" s="89"/>
      <c r="AG503" s="89"/>
      <c r="AH503" s="89"/>
      <c r="AI503" s="89"/>
      <c r="AJ503" s="89"/>
      <c r="AK503" s="89"/>
      <c r="AL503" s="89"/>
      <c r="AM503" s="89"/>
      <c r="AN503" s="89"/>
      <c r="AO503" s="89"/>
      <c r="AP503" s="89"/>
      <c r="AQ503" s="89"/>
      <c r="AR503" s="337">
        <f t="shared" si="23"/>
        <v>0</v>
      </c>
      <c r="AS503" s="192">
        <f t="shared" si="20"/>
        <v>0</v>
      </c>
      <c r="AT503" s="337">
        <f t="shared" si="21"/>
        <v>0</v>
      </c>
    </row>
    <row r="504" spans="2:46" ht="14.65" hidden="1" customHeight="1" outlineLevel="1">
      <c r="B504" s="437">
        <f t="shared" si="22"/>
        <v>58</v>
      </c>
      <c r="C504" s="255" t="s">
        <v>461</v>
      </c>
      <c r="D504" s="494"/>
      <c r="E504" s="494"/>
      <c r="F504" s="89"/>
      <c r="G504" s="89"/>
      <c r="H504" s="89"/>
      <c r="I504" s="89"/>
      <c r="J504" s="89"/>
      <c r="K504" s="89"/>
      <c r="L504" s="89"/>
      <c r="M504" s="89"/>
      <c r="N504" s="89"/>
      <c r="O504" s="89"/>
      <c r="P504" s="89"/>
      <c r="Q504" s="89"/>
      <c r="R504" s="89"/>
      <c r="S504" s="89"/>
      <c r="T504" s="89"/>
      <c r="U504" s="89"/>
      <c r="V504" s="89"/>
      <c r="W504" s="89"/>
      <c r="X504" s="494"/>
      <c r="Y504" s="494"/>
      <c r="Z504" s="89"/>
      <c r="AA504" s="89"/>
      <c r="AB504" s="89"/>
      <c r="AC504" s="89"/>
      <c r="AD504" s="89"/>
      <c r="AE504" s="89"/>
      <c r="AF504" s="89"/>
      <c r="AG504" s="89"/>
      <c r="AH504" s="89"/>
      <c r="AI504" s="89"/>
      <c r="AJ504" s="89"/>
      <c r="AK504" s="89"/>
      <c r="AL504" s="89"/>
      <c r="AM504" s="89"/>
      <c r="AN504" s="89"/>
      <c r="AO504" s="89"/>
      <c r="AP504" s="89"/>
      <c r="AQ504" s="89"/>
      <c r="AR504" s="337">
        <f t="shared" si="23"/>
        <v>0</v>
      </c>
      <c r="AS504" s="192">
        <f t="shared" si="20"/>
        <v>0</v>
      </c>
      <c r="AT504" s="337">
        <f t="shared" si="21"/>
        <v>0</v>
      </c>
    </row>
    <row r="505" spans="2:46" ht="14.65" hidden="1" customHeight="1" outlineLevel="1">
      <c r="B505" s="437">
        <f t="shared" si="22"/>
        <v>59</v>
      </c>
      <c r="C505" s="255" t="s">
        <v>461</v>
      </c>
      <c r="D505" s="494"/>
      <c r="E505" s="494"/>
      <c r="F505" s="89"/>
      <c r="G505" s="89"/>
      <c r="H505" s="89"/>
      <c r="I505" s="89"/>
      <c r="J505" s="89"/>
      <c r="K505" s="89"/>
      <c r="L505" s="89"/>
      <c r="M505" s="89"/>
      <c r="N505" s="89"/>
      <c r="O505" s="89"/>
      <c r="P505" s="89"/>
      <c r="Q505" s="89"/>
      <c r="R505" s="89"/>
      <c r="S505" s="89"/>
      <c r="T505" s="89"/>
      <c r="U505" s="89"/>
      <c r="V505" s="89"/>
      <c r="W505" s="89"/>
      <c r="X505" s="494"/>
      <c r="Y505" s="494"/>
      <c r="Z505" s="89"/>
      <c r="AA505" s="89"/>
      <c r="AB505" s="89"/>
      <c r="AC505" s="89"/>
      <c r="AD505" s="89"/>
      <c r="AE505" s="89"/>
      <c r="AF505" s="89"/>
      <c r="AG505" s="89"/>
      <c r="AH505" s="89"/>
      <c r="AI505" s="89"/>
      <c r="AJ505" s="89"/>
      <c r="AK505" s="89"/>
      <c r="AL505" s="89"/>
      <c r="AM505" s="89"/>
      <c r="AN505" s="89"/>
      <c r="AO505" s="89"/>
      <c r="AP505" s="89"/>
      <c r="AQ505" s="89"/>
      <c r="AR505" s="337">
        <f t="shared" si="23"/>
        <v>0</v>
      </c>
      <c r="AS505" s="192">
        <f t="shared" si="20"/>
        <v>0</v>
      </c>
      <c r="AT505" s="337">
        <f t="shared" si="21"/>
        <v>0</v>
      </c>
    </row>
    <row r="506" spans="2:46" ht="14.65" hidden="1" customHeight="1" outlineLevel="1">
      <c r="B506" s="437">
        <f t="shared" si="22"/>
        <v>60</v>
      </c>
      <c r="C506" s="255" t="s">
        <v>461</v>
      </c>
      <c r="D506" s="494"/>
      <c r="E506" s="494"/>
      <c r="F506" s="89"/>
      <c r="G506" s="89"/>
      <c r="H506" s="89"/>
      <c r="I506" s="89"/>
      <c r="J506" s="89"/>
      <c r="K506" s="89"/>
      <c r="L506" s="89"/>
      <c r="M506" s="89"/>
      <c r="N506" s="89"/>
      <c r="O506" s="89"/>
      <c r="P506" s="89"/>
      <c r="Q506" s="89"/>
      <c r="R506" s="89"/>
      <c r="S506" s="89"/>
      <c r="T506" s="89"/>
      <c r="U506" s="89"/>
      <c r="V506" s="89"/>
      <c r="W506" s="89"/>
      <c r="X506" s="494"/>
      <c r="Y506" s="494"/>
      <c r="Z506" s="89"/>
      <c r="AA506" s="89"/>
      <c r="AB506" s="89"/>
      <c r="AC506" s="89"/>
      <c r="AD506" s="89"/>
      <c r="AE506" s="89"/>
      <c r="AF506" s="89"/>
      <c r="AG506" s="89"/>
      <c r="AH506" s="89"/>
      <c r="AI506" s="89"/>
      <c r="AJ506" s="89"/>
      <c r="AK506" s="89"/>
      <c r="AL506" s="89"/>
      <c r="AM506" s="89"/>
      <c r="AN506" s="89"/>
      <c r="AO506" s="89"/>
      <c r="AP506" s="89"/>
      <c r="AQ506" s="89"/>
      <c r="AR506" s="337">
        <f t="shared" si="23"/>
        <v>0</v>
      </c>
      <c r="AS506" s="192">
        <f t="shared" si="20"/>
        <v>0</v>
      </c>
      <c r="AT506" s="337">
        <f t="shared" si="21"/>
        <v>0</v>
      </c>
    </row>
    <row r="507" spans="2:46" ht="14.65" hidden="1" customHeight="1" outlineLevel="1">
      <c r="B507" s="437">
        <f t="shared" si="22"/>
        <v>61</v>
      </c>
      <c r="C507" s="255" t="s">
        <v>461</v>
      </c>
      <c r="D507" s="494"/>
      <c r="E507" s="494"/>
      <c r="F507" s="89"/>
      <c r="G507" s="89"/>
      <c r="H507" s="89"/>
      <c r="I507" s="89"/>
      <c r="J507" s="89"/>
      <c r="K507" s="89"/>
      <c r="L507" s="89"/>
      <c r="M507" s="89"/>
      <c r="N507" s="89"/>
      <c r="O507" s="89"/>
      <c r="P507" s="89"/>
      <c r="Q507" s="89"/>
      <c r="R507" s="89"/>
      <c r="S507" s="89"/>
      <c r="T507" s="89"/>
      <c r="U507" s="89"/>
      <c r="V507" s="89"/>
      <c r="W507" s="89"/>
      <c r="X507" s="494"/>
      <c r="Y507" s="494"/>
      <c r="Z507" s="89"/>
      <c r="AA507" s="89"/>
      <c r="AB507" s="89"/>
      <c r="AC507" s="89"/>
      <c r="AD507" s="89"/>
      <c r="AE507" s="89"/>
      <c r="AF507" s="89"/>
      <c r="AG507" s="89"/>
      <c r="AH507" s="89"/>
      <c r="AI507" s="89"/>
      <c r="AJ507" s="89"/>
      <c r="AK507" s="89"/>
      <c r="AL507" s="89"/>
      <c r="AM507" s="89"/>
      <c r="AN507" s="89"/>
      <c r="AO507" s="89"/>
      <c r="AP507" s="89"/>
      <c r="AQ507" s="89"/>
      <c r="AR507" s="337">
        <f t="shared" si="23"/>
        <v>0</v>
      </c>
      <c r="AS507" s="192">
        <f t="shared" si="20"/>
        <v>0</v>
      </c>
      <c r="AT507" s="337">
        <f t="shared" si="21"/>
        <v>0</v>
      </c>
    </row>
    <row r="508" spans="2:46" ht="14.65" hidden="1" customHeight="1" outlineLevel="1">
      <c r="B508" s="437">
        <f t="shared" si="22"/>
        <v>62</v>
      </c>
      <c r="C508" s="255" t="s">
        <v>461</v>
      </c>
      <c r="D508" s="494"/>
      <c r="E508" s="494"/>
      <c r="F508" s="89"/>
      <c r="G508" s="89"/>
      <c r="H508" s="89"/>
      <c r="I508" s="89"/>
      <c r="J508" s="89"/>
      <c r="K508" s="89"/>
      <c r="L508" s="89"/>
      <c r="M508" s="89"/>
      <c r="N508" s="89"/>
      <c r="O508" s="89"/>
      <c r="P508" s="89"/>
      <c r="Q508" s="89"/>
      <c r="R508" s="89"/>
      <c r="S508" s="89"/>
      <c r="T508" s="89"/>
      <c r="U508" s="89"/>
      <c r="V508" s="89"/>
      <c r="W508" s="89"/>
      <c r="X508" s="494"/>
      <c r="Y508" s="494"/>
      <c r="Z508" s="89"/>
      <c r="AA508" s="89"/>
      <c r="AB508" s="89"/>
      <c r="AC508" s="89"/>
      <c r="AD508" s="89"/>
      <c r="AE508" s="89"/>
      <c r="AF508" s="89"/>
      <c r="AG508" s="89"/>
      <c r="AH508" s="89"/>
      <c r="AI508" s="89"/>
      <c r="AJ508" s="89"/>
      <c r="AK508" s="89"/>
      <c r="AL508" s="89"/>
      <c r="AM508" s="89"/>
      <c r="AN508" s="89"/>
      <c r="AO508" s="89"/>
      <c r="AP508" s="89"/>
      <c r="AQ508" s="89"/>
      <c r="AR508" s="337">
        <f t="shared" si="23"/>
        <v>0</v>
      </c>
      <c r="AS508" s="192">
        <f t="shared" si="20"/>
        <v>0</v>
      </c>
      <c r="AT508" s="337">
        <f t="shared" si="21"/>
        <v>0</v>
      </c>
    </row>
    <row r="509" spans="2:46" ht="14.65" hidden="1" customHeight="1" outlineLevel="1">
      <c r="B509" s="437">
        <f t="shared" si="22"/>
        <v>63</v>
      </c>
      <c r="C509" s="255" t="s">
        <v>461</v>
      </c>
      <c r="D509" s="494"/>
      <c r="E509" s="494"/>
      <c r="F509" s="89"/>
      <c r="G509" s="89"/>
      <c r="H509" s="89"/>
      <c r="I509" s="89"/>
      <c r="J509" s="89"/>
      <c r="K509" s="89"/>
      <c r="L509" s="89"/>
      <c r="M509" s="89"/>
      <c r="N509" s="89"/>
      <c r="O509" s="89"/>
      <c r="P509" s="89"/>
      <c r="Q509" s="89"/>
      <c r="R509" s="89"/>
      <c r="S509" s="89"/>
      <c r="T509" s="89"/>
      <c r="U509" s="89"/>
      <c r="V509" s="89"/>
      <c r="W509" s="89"/>
      <c r="X509" s="494"/>
      <c r="Y509" s="494"/>
      <c r="Z509" s="89"/>
      <c r="AA509" s="89"/>
      <c r="AB509" s="89"/>
      <c r="AC509" s="89"/>
      <c r="AD509" s="89"/>
      <c r="AE509" s="89"/>
      <c r="AF509" s="89"/>
      <c r="AG509" s="89"/>
      <c r="AH509" s="89"/>
      <c r="AI509" s="89"/>
      <c r="AJ509" s="89"/>
      <c r="AK509" s="89"/>
      <c r="AL509" s="89"/>
      <c r="AM509" s="89"/>
      <c r="AN509" s="89"/>
      <c r="AO509" s="89"/>
      <c r="AP509" s="89"/>
      <c r="AQ509" s="89"/>
      <c r="AR509" s="337">
        <f t="shared" si="23"/>
        <v>0</v>
      </c>
      <c r="AS509" s="192">
        <f t="shared" si="20"/>
        <v>0</v>
      </c>
      <c r="AT509" s="337">
        <f t="shared" si="21"/>
        <v>0</v>
      </c>
    </row>
    <row r="510" spans="2:46" ht="14.65" hidden="1" customHeight="1" outlineLevel="1">
      <c r="B510" s="437">
        <f t="shared" si="22"/>
        <v>64</v>
      </c>
      <c r="C510" s="255" t="s">
        <v>461</v>
      </c>
      <c r="D510" s="494"/>
      <c r="E510" s="494"/>
      <c r="F510" s="89"/>
      <c r="G510" s="89"/>
      <c r="H510" s="89"/>
      <c r="I510" s="89"/>
      <c r="J510" s="89"/>
      <c r="K510" s="89"/>
      <c r="L510" s="89"/>
      <c r="M510" s="89"/>
      <c r="N510" s="89"/>
      <c r="O510" s="89"/>
      <c r="P510" s="89"/>
      <c r="Q510" s="89"/>
      <c r="R510" s="89"/>
      <c r="S510" s="89"/>
      <c r="T510" s="89"/>
      <c r="U510" s="89"/>
      <c r="V510" s="89"/>
      <c r="W510" s="89"/>
      <c r="X510" s="494"/>
      <c r="Y510" s="494"/>
      <c r="Z510" s="89"/>
      <c r="AA510" s="89"/>
      <c r="AB510" s="89"/>
      <c r="AC510" s="89"/>
      <c r="AD510" s="89"/>
      <c r="AE510" s="89"/>
      <c r="AF510" s="89"/>
      <c r="AG510" s="89"/>
      <c r="AH510" s="89"/>
      <c r="AI510" s="89"/>
      <c r="AJ510" s="89"/>
      <c r="AK510" s="89"/>
      <c r="AL510" s="89"/>
      <c r="AM510" s="89"/>
      <c r="AN510" s="89"/>
      <c r="AO510" s="89"/>
      <c r="AP510" s="89"/>
      <c r="AQ510" s="89"/>
      <c r="AR510" s="337">
        <f t="shared" si="23"/>
        <v>0</v>
      </c>
      <c r="AS510" s="192">
        <f t="shared" si="20"/>
        <v>0</v>
      </c>
      <c r="AT510" s="337">
        <f t="shared" si="21"/>
        <v>0</v>
      </c>
    </row>
    <row r="511" spans="2:46" ht="14.65" hidden="1" customHeight="1" outlineLevel="1">
      <c r="B511" s="437">
        <f t="shared" si="22"/>
        <v>65</v>
      </c>
      <c r="C511" s="255" t="s">
        <v>461</v>
      </c>
      <c r="D511" s="494"/>
      <c r="E511" s="494"/>
      <c r="F511" s="89"/>
      <c r="G511" s="89"/>
      <c r="H511" s="89"/>
      <c r="I511" s="89"/>
      <c r="J511" s="89"/>
      <c r="K511" s="89"/>
      <c r="L511" s="89"/>
      <c r="M511" s="89"/>
      <c r="N511" s="89"/>
      <c r="O511" s="89"/>
      <c r="P511" s="89"/>
      <c r="Q511" s="89"/>
      <c r="R511" s="89"/>
      <c r="S511" s="89"/>
      <c r="T511" s="89"/>
      <c r="U511" s="89"/>
      <c r="V511" s="89"/>
      <c r="W511" s="89"/>
      <c r="X511" s="494"/>
      <c r="Y511" s="494"/>
      <c r="Z511" s="89"/>
      <c r="AA511" s="89"/>
      <c r="AB511" s="89"/>
      <c r="AC511" s="89"/>
      <c r="AD511" s="89"/>
      <c r="AE511" s="89"/>
      <c r="AF511" s="89"/>
      <c r="AG511" s="89"/>
      <c r="AH511" s="89"/>
      <c r="AI511" s="89"/>
      <c r="AJ511" s="89"/>
      <c r="AK511" s="89"/>
      <c r="AL511" s="89"/>
      <c r="AM511" s="89"/>
      <c r="AN511" s="89"/>
      <c r="AO511" s="89"/>
      <c r="AP511" s="89"/>
      <c r="AQ511" s="89"/>
      <c r="AR511" s="337">
        <f t="shared" si="23"/>
        <v>0</v>
      </c>
      <c r="AS511" s="192">
        <f t="shared" si="20"/>
        <v>0</v>
      </c>
      <c r="AT511" s="337">
        <f t="shared" si="21"/>
        <v>0</v>
      </c>
    </row>
    <row r="512" spans="2:46" ht="14.65" hidden="1" customHeight="1" outlineLevel="1">
      <c r="B512" s="437">
        <f t="shared" si="22"/>
        <v>66</v>
      </c>
      <c r="C512" s="255" t="s">
        <v>461</v>
      </c>
      <c r="D512" s="494"/>
      <c r="E512" s="494"/>
      <c r="F512" s="89"/>
      <c r="G512" s="89"/>
      <c r="H512" s="89"/>
      <c r="I512" s="89"/>
      <c r="J512" s="89"/>
      <c r="K512" s="89"/>
      <c r="L512" s="89"/>
      <c r="M512" s="89"/>
      <c r="N512" s="89"/>
      <c r="O512" s="89"/>
      <c r="P512" s="89"/>
      <c r="Q512" s="89"/>
      <c r="R512" s="89"/>
      <c r="S512" s="89"/>
      <c r="T512" s="89"/>
      <c r="U512" s="89"/>
      <c r="V512" s="89"/>
      <c r="W512" s="89"/>
      <c r="X512" s="494"/>
      <c r="Y512" s="494"/>
      <c r="Z512" s="89"/>
      <c r="AA512" s="89"/>
      <c r="AB512" s="89"/>
      <c r="AC512" s="89"/>
      <c r="AD512" s="89"/>
      <c r="AE512" s="89"/>
      <c r="AF512" s="89"/>
      <c r="AG512" s="89"/>
      <c r="AH512" s="89"/>
      <c r="AI512" s="89"/>
      <c r="AJ512" s="89"/>
      <c r="AK512" s="89"/>
      <c r="AL512" s="89"/>
      <c r="AM512" s="89"/>
      <c r="AN512" s="89"/>
      <c r="AO512" s="89"/>
      <c r="AP512" s="89"/>
      <c r="AQ512" s="89"/>
      <c r="AR512" s="337">
        <f t="shared" si="23"/>
        <v>0</v>
      </c>
      <c r="AS512" s="192">
        <f t="shared" ref="AS512:AS526" si="24">SUM(F512:I512)</f>
        <v>0</v>
      </c>
      <c r="AT512" s="337">
        <f t="shared" ref="AT512:AT526" si="25">SUM(J512:K512)</f>
        <v>0</v>
      </c>
    </row>
    <row r="513" spans="2:46" ht="14.65" hidden="1" customHeight="1" outlineLevel="1">
      <c r="B513" s="437">
        <f t="shared" ref="B513:B526" si="26">1+B512</f>
        <v>67</v>
      </c>
      <c r="C513" s="255" t="s">
        <v>461</v>
      </c>
      <c r="D513" s="494"/>
      <c r="E513" s="494"/>
      <c r="F513" s="89"/>
      <c r="G513" s="89"/>
      <c r="H513" s="89"/>
      <c r="I513" s="89"/>
      <c r="J513" s="89"/>
      <c r="K513" s="89"/>
      <c r="L513" s="89"/>
      <c r="M513" s="89"/>
      <c r="N513" s="89"/>
      <c r="O513" s="89"/>
      <c r="P513" s="89"/>
      <c r="Q513" s="89"/>
      <c r="R513" s="89"/>
      <c r="S513" s="89"/>
      <c r="T513" s="89"/>
      <c r="U513" s="89"/>
      <c r="V513" s="89"/>
      <c r="W513" s="89"/>
      <c r="X513" s="494"/>
      <c r="Y513" s="494"/>
      <c r="Z513" s="89"/>
      <c r="AA513" s="89"/>
      <c r="AB513" s="89"/>
      <c r="AC513" s="89"/>
      <c r="AD513" s="89"/>
      <c r="AE513" s="89"/>
      <c r="AF513" s="89"/>
      <c r="AG513" s="89"/>
      <c r="AH513" s="89"/>
      <c r="AI513" s="89"/>
      <c r="AJ513" s="89"/>
      <c r="AK513" s="89"/>
      <c r="AL513" s="89"/>
      <c r="AM513" s="89"/>
      <c r="AN513" s="89"/>
      <c r="AO513" s="89"/>
      <c r="AP513" s="89"/>
      <c r="AQ513" s="89"/>
      <c r="AR513" s="337">
        <f t="shared" si="23"/>
        <v>0</v>
      </c>
      <c r="AS513" s="192">
        <f t="shared" si="24"/>
        <v>0</v>
      </c>
      <c r="AT513" s="337">
        <f t="shared" si="25"/>
        <v>0</v>
      </c>
    </row>
    <row r="514" spans="2:46" ht="14.65" hidden="1" customHeight="1" outlineLevel="1">
      <c r="B514" s="437">
        <f t="shared" si="26"/>
        <v>68</v>
      </c>
      <c r="C514" s="255" t="s">
        <v>461</v>
      </c>
      <c r="D514" s="494"/>
      <c r="E514" s="494"/>
      <c r="F514" s="89"/>
      <c r="G514" s="89"/>
      <c r="H514" s="89"/>
      <c r="I514" s="89"/>
      <c r="J514" s="89"/>
      <c r="K514" s="89"/>
      <c r="L514" s="89"/>
      <c r="M514" s="89"/>
      <c r="N514" s="89"/>
      <c r="O514" s="89"/>
      <c r="P514" s="89"/>
      <c r="Q514" s="89"/>
      <c r="R514" s="89"/>
      <c r="S514" s="89"/>
      <c r="T514" s="89"/>
      <c r="U514" s="89"/>
      <c r="V514" s="89"/>
      <c r="W514" s="89"/>
      <c r="X514" s="494"/>
      <c r="Y514" s="494"/>
      <c r="Z514" s="89"/>
      <c r="AA514" s="89"/>
      <c r="AB514" s="89"/>
      <c r="AC514" s="89"/>
      <c r="AD514" s="89"/>
      <c r="AE514" s="89"/>
      <c r="AF514" s="89"/>
      <c r="AG514" s="89"/>
      <c r="AH514" s="89"/>
      <c r="AI514" s="89"/>
      <c r="AJ514" s="89"/>
      <c r="AK514" s="89"/>
      <c r="AL514" s="89"/>
      <c r="AM514" s="89"/>
      <c r="AN514" s="89"/>
      <c r="AO514" s="89"/>
      <c r="AP514" s="89"/>
      <c r="AQ514" s="89"/>
      <c r="AR514" s="337">
        <f t="shared" ref="AR514:AR526" si="27">Y514</f>
        <v>0</v>
      </c>
      <c r="AS514" s="192">
        <f t="shared" si="24"/>
        <v>0</v>
      </c>
      <c r="AT514" s="337">
        <f t="shared" si="25"/>
        <v>0</v>
      </c>
    </row>
    <row r="515" spans="2:46" ht="14.65" hidden="1" customHeight="1" outlineLevel="1">
      <c r="B515" s="437">
        <f t="shared" si="26"/>
        <v>69</v>
      </c>
      <c r="C515" s="255" t="s">
        <v>461</v>
      </c>
      <c r="D515" s="494"/>
      <c r="E515" s="494"/>
      <c r="F515" s="89"/>
      <c r="G515" s="89"/>
      <c r="H515" s="89"/>
      <c r="I515" s="89"/>
      <c r="J515" s="89"/>
      <c r="K515" s="89"/>
      <c r="L515" s="89"/>
      <c r="M515" s="89"/>
      <c r="N515" s="89"/>
      <c r="O515" s="89"/>
      <c r="P515" s="89"/>
      <c r="Q515" s="89"/>
      <c r="R515" s="89"/>
      <c r="S515" s="89"/>
      <c r="T515" s="89"/>
      <c r="U515" s="89"/>
      <c r="V515" s="89"/>
      <c r="W515" s="89"/>
      <c r="X515" s="494"/>
      <c r="Y515" s="494"/>
      <c r="Z515" s="89"/>
      <c r="AA515" s="89"/>
      <c r="AB515" s="89"/>
      <c r="AC515" s="89"/>
      <c r="AD515" s="89"/>
      <c r="AE515" s="89"/>
      <c r="AF515" s="89"/>
      <c r="AG515" s="89"/>
      <c r="AH515" s="89"/>
      <c r="AI515" s="89"/>
      <c r="AJ515" s="89"/>
      <c r="AK515" s="89"/>
      <c r="AL515" s="89"/>
      <c r="AM515" s="89"/>
      <c r="AN515" s="89"/>
      <c r="AO515" s="89"/>
      <c r="AP515" s="89"/>
      <c r="AQ515" s="89"/>
      <c r="AR515" s="337">
        <f t="shared" si="27"/>
        <v>0</v>
      </c>
      <c r="AS515" s="192">
        <f t="shared" si="24"/>
        <v>0</v>
      </c>
      <c r="AT515" s="337">
        <f t="shared" si="25"/>
        <v>0</v>
      </c>
    </row>
    <row r="516" spans="2:46" ht="14.65" hidden="1" customHeight="1" outlineLevel="1">
      <c r="B516" s="437">
        <f t="shared" si="26"/>
        <v>70</v>
      </c>
      <c r="C516" s="255" t="s">
        <v>461</v>
      </c>
      <c r="D516" s="494"/>
      <c r="E516" s="494"/>
      <c r="F516" s="89"/>
      <c r="G516" s="89"/>
      <c r="H516" s="89"/>
      <c r="I516" s="89"/>
      <c r="J516" s="89"/>
      <c r="K516" s="89"/>
      <c r="L516" s="89"/>
      <c r="M516" s="89"/>
      <c r="N516" s="89"/>
      <c r="O516" s="89"/>
      <c r="P516" s="89"/>
      <c r="Q516" s="89"/>
      <c r="R516" s="89"/>
      <c r="S516" s="89"/>
      <c r="T516" s="89"/>
      <c r="U516" s="89"/>
      <c r="V516" s="89"/>
      <c r="W516" s="89"/>
      <c r="X516" s="494"/>
      <c r="Y516" s="494"/>
      <c r="Z516" s="89"/>
      <c r="AA516" s="89"/>
      <c r="AB516" s="89"/>
      <c r="AC516" s="89"/>
      <c r="AD516" s="89"/>
      <c r="AE516" s="89"/>
      <c r="AF516" s="89"/>
      <c r="AG516" s="89"/>
      <c r="AH516" s="89"/>
      <c r="AI516" s="89"/>
      <c r="AJ516" s="89"/>
      <c r="AK516" s="89"/>
      <c r="AL516" s="89"/>
      <c r="AM516" s="89"/>
      <c r="AN516" s="89"/>
      <c r="AO516" s="89"/>
      <c r="AP516" s="89"/>
      <c r="AQ516" s="89"/>
      <c r="AR516" s="337">
        <f t="shared" si="27"/>
        <v>0</v>
      </c>
      <c r="AS516" s="192">
        <f t="shared" si="24"/>
        <v>0</v>
      </c>
      <c r="AT516" s="337">
        <f t="shared" si="25"/>
        <v>0</v>
      </c>
    </row>
    <row r="517" spans="2:46" ht="14.65" hidden="1" customHeight="1" outlineLevel="1">
      <c r="B517" s="437">
        <f t="shared" si="26"/>
        <v>71</v>
      </c>
      <c r="C517" s="255" t="s">
        <v>461</v>
      </c>
      <c r="D517" s="494"/>
      <c r="E517" s="494"/>
      <c r="F517" s="89"/>
      <c r="G517" s="89"/>
      <c r="H517" s="89"/>
      <c r="I517" s="89"/>
      <c r="J517" s="89"/>
      <c r="K517" s="89"/>
      <c r="L517" s="89"/>
      <c r="M517" s="89"/>
      <c r="N517" s="89"/>
      <c r="O517" s="89"/>
      <c r="P517" s="89"/>
      <c r="Q517" s="89"/>
      <c r="R517" s="89"/>
      <c r="S517" s="89"/>
      <c r="T517" s="89"/>
      <c r="U517" s="89"/>
      <c r="V517" s="89"/>
      <c r="W517" s="89"/>
      <c r="X517" s="494"/>
      <c r="Y517" s="494"/>
      <c r="Z517" s="89"/>
      <c r="AA517" s="89"/>
      <c r="AB517" s="89"/>
      <c r="AC517" s="89"/>
      <c r="AD517" s="89"/>
      <c r="AE517" s="89"/>
      <c r="AF517" s="89"/>
      <c r="AG517" s="89"/>
      <c r="AH517" s="89"/>
      <c r="AI517" s="89"/>
      <c r="AJ517" s="89"/>
      <c r="AK517" s="89"/>
      <c r="AL517" s="89"/>
      <c r="AM517" s="89"/>
      <c r="AN517" s="89"/>
      <c r="AO517" s="89"/>
      <c r="AP517" s="89"/>
      <c r="AQ517" s="89"/>
      <c r="AR517" s="337">
        <f t="shared" si="27"/>
        <v>0</v>
      </c>
      <c r="AS517" s="192">
        <f t="shared" si="24"/>
        <v>0</v>
      </c>
      <c r="AT517" s="337">
        <f t="shared" si="25"/>
        <v>0</v>
      </c>
    </row>
    <row r="518" spans="2:46" ht="14.65" hidden="1" customHeight="1" outlineLevel="1">
      <c r="B518" s="437">
        <f t="shared" si="26"/>
        <v>72</v>
      </c>
      <c r="C518" s="255" t="s">
        <v>461</v>
      </c>
      <c r="D518" s="494"/>
      <c r="E518" s="494"/>
      <c r="F518" s="89"/>
      <c r="G518" s="89"/>
      <c r="H518" s="89"/>
      <c r="I518" s="89"/>
      <c r="J518" s="89"/>
      <c r="K518" s="89"/>
      <c r="L518" s="89"/>
      <c r="M518" s="89"/>
      <c r="N518" s="89"/>
      <c r="O518" s="89"/>
      <c r="P518" s="89"/>
      <c r="Q518" s="89"/>
      <c r="R518" s="89"/>
      <c r="S518" s="89"/>
      <c r="T518" s="89"/>
      <c r="U518" s="89"/>
      <c r="V518" s="89"/>
      <c r="W518" s="89"/>
      <c r="X518" s="494"/>
      <c r="Y518" s="494"/>
      <c r="Z518" s="89"/>
      <c r="AA518" s="89"/>
      <c r="AB518" s="89"/>
      <c r="AC518" s="89"/>
      <c r="AD518" s="89"/>
      <c r="AE518" s="89"/>
      <c r="AF518" s="89"/>
      <c r="AG518" s="89"/>
      <c r="AH518" s="89"/>
      <c r="AI518" s="89"/>
      <c r="AJ518" s="89"/>
      <c r="AK518" s="89"/>
      <c r="AL518" s="89"/>
      <c r="AM518" s="89"/>
      <c r="AN518" s="89"/>
      <c r="AO518" s="89"/>
      <c r="AP518" s="89"/>
      <c r="AQ518" s="89"/>
      <c r="AR518" s="337">
        <f t="shared" si="27"/>
        <v>0</v>
      </c>
      <c r="AS518" s="192">
        <f t="shared" si="24"/>
        <v>0</v>
      </c>
      <c r="AT518" s="337">
        <f t="shared" si="25"/>
        <v>0</v>
      </c>
    </row>
    <row r="519" spans="2:46" ht="14.65" hidden="1" customHeight="1" outlineLevel="1">
      <c r="B519" s="437">
        <f t="shared" si="26"/>
        <v>73</v>
      </c>
      <c r="C519" s="255" t="s">
        <v>461</v>
      </c>
      <c r="D519" s="494"/>
      <c r="E519" s="494"/>
      <c r="F519" s="89"/>
      <c r="G519" s="89"/>
      <c r="H519" s="89"/>
      <c r="I519" s="89"/>
      <c r="J519" s="89"/>
      <c r="K519" s="89"/>
      <c r="L519" s="89"/>
      <c r="M519" s="89"/>
      <c r="N519" s="89"/>
      <c r="O519" s="89"/>
      <c r="P519" s="89"/>
      <c r="Q519" s="89"/>
      <c r="R519" s="89"/>
      <c r="S519" s="89"/>
      <c r="T519" s="89"/>
      <c r="U519" s="89"/>
      <c r="V519" s="89"/>
      <c r="W519" s="89"/>
      <c r="X519" s="494"/>
      <c r="Y519" s="494"/>
      <c r="Z519" s="89"/>
      <c r="AA519" s="89"/>
      <c r="AB519" s="89"/>
      <c r="AC519" s="89"/>
      <c r="AD519" s="89"/>
      <c r="AE519" s="89"/>
      <c r="AF519" s="89"/>
      <c r="AG519" s="89"/>
      <c r="AH519" s="89"/>
      <c r="AI519" s="89"/>
      <c r="AJ519" s="89"/>
      <c r="AK519" s="89"/>
      <c r="AL519" s="89"/>
      <c r="AM519" s="89"/>
      <c r="AN519" s="89"/>
      <c r="AO519" s="89"/>
      <c r="AP519" s="89"/>
      <c r="AQ519" s="89"/>
      <c r="AR519" s="337">
        <f t="shared" si="27"/>
        <v>0</v>
      </c>
      <c r="AS519" s="192">
        <f t="shared" si="24"/>
        <v>0</v>
      </c>
      <c r="AT519" s="337">
        <f t="shared" si="25"/>
        <v>0</v>
      </c>
    </row>
    <row r="520" spans="2:46" ht="14.65" hidden="1" customHeight="1" outlineLevel="1">
      <c r="B520" s="437">
        <f t="shared" si="26"/>
        <v>74</v>
      </c>
      <c r="C520" s="255" t="s">
        <v>461</v>
      </c>
      <c r="D520" s="494"/>
      <c r="E520" s="494"/>
      <c r="F520" s="89"/>
      <c r="G520" s="89"/>
      <c r="H520" s="89"/>
      <c r="I520" s="89"/>
      <c r="J520" s="89"/>
      <c r="K520" s="89"/>
      <c r="L520" s="89"/>
      <c r="M520" s="89"/>
      <c r="N520" s="89"/>
      <c r="O520" s="89"/>
      <c r="P520" s="89"/>
      <c r="Q520" s="89"/>
      <c r="R520" s="89"/>
      <c r="S520" s="89"/>
      <c r="T520" s="89"/>
      <c r="U520" s="89"/>
      <c r="V520" s="89"/>
      <c r="W520" s="89"/>
      <c r="X520" s="494"/>
      <c r="Y520" s="494"/>
      <c r="Z520" s="89"/>
      <c r="AA520" s="89"/>
      <c r="AB520" s="89"/>
      <c r="AC520" s="89"/>
      <c r="AD520" s="89"/>
      <c r="AE520" s="89"/>
      <c r="AF520" s="89"/>
      <c r="AG520" s="89"/>
      <c r="AH520" s="89"/>
      <c r="AI520" s="89"/>
      <c r="AJ520" s="89"/>
      <c r="AK520" s="89"/>
      <c r="AL520" s="89"/>
      <c r="AM520" s="89"/>
      <c r="AN520" s="89"/>
      <c r="AO520" s="89"/>
      <c r="AP520" s="89"/>
      <c r="AQ520" s="89"/>
      <c r="AR520" s="337">
        <f t="shared" si="27"/>
        <v>0</v>
      </c>
      <c r="AS520" s="192">
        <f t="shared" si="24"/>
        <v>0</v>
      </c>
      <c r="AT520" s="337">
        <f t="shared" si="25"/>
        <v>0</v>
      </c>
    </row>
    <row r="521" spans="2:46" ht="14.65" hidden="1" customHeight="1" outlineLevel="1">
      <c r="B521" s="437">
        <f t="shared" si="26"/>
        <v>75</v>
      </c>
      <c r="C521" s="255" t="s">
        <v>461</v>
      </c>
      <c r="D521" s="494"/>
      <c r="E521" s="494"/>
      <c r="F521" s="89"/>
      <c r="G521" s="89"/>
      <c r="H521" s="89"/>
      <c r="I521" s="89"/>
      <c r="J521" s="89"/>
      <c r="K521" s="89"/>
      <c r="L521" s="89"/>
      <c r="M521" s="89"/>
      <c r="N521" s="89"/>
      <c r="O521" s="89"/>
      <c r="P521" s="89"/>
      <c r="Q521" s="89"/>
      <c r="R521" s="89"/>
      <c r="S521" s="89"/>
      <c r="T521" s="89"/>
      <c r="U521" s="89"/>
      <c r="V521" s="89"/>
      <c r="W521" s="89"/>
      <c r="X521" s="494"/>
      <c r="Y521" s="494"/>
      <c r="Z521" s="89"/>
      <c r="AA521" s="89"/>
      <c r="AB521" s="89"/>
      <c r="AC521" s="89"/>
      <c r="AD521" s="89"/>
      <c r="AE521" s="89"/>
      <c r="AF521" s="89"/>
      <c r="AG521" s="89"/>
      <c r="AH521" s="89"/>
      <c r="AI521" s="89"/>
      <c r="AJ521" s="89"/>
      <c r="AK521" s="89"/>
      <c r="AL521" s="89"/>
      <c r="AM521" s="89"/>
      <c r="AN521" s="89"/>
      <c r="AO521" s="89"/>
      <c r="AP521" s="89"/>
      <c r="AQ521" s="89"/>
      <c r="AR521" s="337">
        <f t="shared" si="27"/>
        <v>0</v>
      </c>
      <c r="AS521" s="192">
        <f t="shared" si="24"/>
        <v>0</v>
      </c>
      <c r="AT521" s="337">
        <f t="shared" si="25"/>
        <v>0</v>
      </c>
    </row>
    <row r="522" spans="2:46" ht="14.65" hidden="1" customHeight="1" outlineLevel="1">
      <c r="B522" s="437">
        <f t="shared" si="26"/>
        <v>76</v>
      </c>
      <c r="C522" s="255" t="s">
        <v>461</v>
      </c>
      <c r="D522" s="494"/>
      <c r="E522" s="494"/>
      <c r="F522" s="89"/>
      <c r="G522" s="89"/>
      <c r="H522" s="89"/>
      <c r="I522" s="89"/>
      <c r="J522" s="89"/>
      <c r="K522" s="89"/>
      <c r="L522" s="89"/>
      <c r="M522" s="89"/>
      <c r="N522" s="89"/>
      <c r="O522" s="89"/>
      <c r="P522" s="89"/>
      <c r="Q522" s="89"/>
      <c r="R522" s="89"/>
      <c r="S522" s="89"/>
      <c r="T522" s="89"/>
      <c r="U522" s="89"/>
      <c r="V522" s="89"/>
      <c r="W522" s="89"/>
      <c r="X522" s="494"/>
      <c r="Y522" s="494"/>
      <c r="Z522" s="89"/>
      <c r="AA522" s="89"/>
      <c r="AB522" s="89"/>
      <c r="AC522" s="89"/>
      <c r="AD522" s="89"/>
      <c r="AE522" s="89"/>
      <c r="AF522" s="89"/>
      <c r="AG522" s="89"/>
      <c r="AH522" s="89"/>
      <c r="AI522" s="89"/>
      <c r="AJ522" s="89"/>
      <c r="AK522" s="89"/>
      <c r="AL522" s="89"/>
      <c r="AM522" s="89"/>
      <c r="AN522" s="89"/>
      <c r="AO522" s="89"/>
      <c r="AP522" s="89"/>
      <c r="AQ522" s="89"/>
      <c r="AR522" s="337">
        <f t="shared" si="27"/>
        <v>0</v>
      </c>
      <c r="AS522" s="192">
        <f t="shared" si="24"/>
        <v>0</v>
      </c>
      <c r="AT522" s="337">
        <f t="shared" si="25"/>
        <v>0</v>
      </c>
    </row>
    <row r="523" spans="2:46" ht="14.65" hidden="1" customHeight="1" outlineLevel="1">
      <c r="B523" s="437">
        <f t="shared" si="26"/>
        <v>77</v>
      </c>
      <c r="C523" s="255" t="s">
        <v>461</v>
      </c>
      <c r="D523" s="494"/>
      <c r="E523" s="494"/>
      <c r="F523" s="89"/>
      <c r="G523" s="89"/>
      <c r="H523" s="89"/>
      <c r="I523" s="89"/>
      <c r="J523" s="89"/>
      <c r="K523" s="89"/>
      <c r="L523" s="89"/>
      <c r="M523" s="89"/>
      <c r="N523" s="89"/>
      <c r="O523" s="89"/>
      <c r="P523" s="89"/>
      <c r="Q523" s="89"/>
      <c r="R523" s="89"/>
      <c r="S523" s="89"/>
      <c r="T523" s="89"/>
      <c r="U523" s="89"/>
      <c r="V523" s="89"/>
      <c r="W523" s="89"/>
      <c r="X523" s="494"/>
      <c r="Y523" s="494"/>
      <c r="Z523" s="89"/>
      <c r="AA523" s="89"/>
      <c r="AB523" s="89"/>
      <c r="AC523" s="89"/>
      <c r="AD523" s="89"/>
      <c r="AE523" s="89"/>
      <c r="AF523" s="89"/>
      <c r="AG523" s="89"/>
      <c r="AH523" s="89"/>
      <c r="AI523" s="89"/>
      <c r="AJ523" s="89"/>
      <c r="AK523" s="89"/>
      <c r="AL523" s="89"/>
      <c r="AM523" s="89"/>
      <c r="AN523" s="89"/>
      <c r="AO523" s="89"/>
      <c r="AP523" s="89"/>
      <c r="AQ523" s="89"/>
      <c r="AR523" s="337">
        <f t="shared" si="27"/>
        <v>0</v>
      </c>
      <c r="AS523" s="192">
        <f t="shared" si="24"/>
        <v>0</v>
      </c>
      <c r="AT523" s="337">
        <f t="shared" si="25"/>
        <v>0</v>
      </c>
    </row>
    <row r="524" spans="2:46" ht="14.65" hidden="1" customHeight="1" outlineLevel="1">
      <c r="B524" s="437">
        <f t="shared" si="26"/>
        <v>78</v>
      </c>
      <c r="C524" s="255" t="s">
        <v>461</v>
      </c>
      <c r="D524" s="494"/>
      <c r="E524" s="494"/>
      <c r="F524" s="89"/>
      <c r="G524" s="89"/>
      <c r="H524" s="89"/>
      <c r="I524" s="89"/>
      <c r="J524" s="89"/>
      <c r="K524" s="89"/>
      <c r="L524" s="89"/>
      <c r="M524" s="89"/>
      <c r="N524" s="89"/>
      <c r="O524" s="89"/>
      <c r="P524" s="89"/>
      <c r="Q524" s="89"/>
      <c r="R524" s="89"/>
      <c r="S524" s="89"/>
      <c r="T524" s="89"/>
      <c r="U524" s="89"/>
      <c r="V524" s="89"/>
      <c r="W524" s="89"/>
      <c r="X524" s="494"/>
      <c r="Y524" s="494"/>
      <c r="Z524" s="89"/>
      <c r="AA524" s="89"/>
      <c r="AB524" s="89"/>
      <c r="AC524" s="89"/>
      <c r="AD524" s="89"/>
      <c r="AE524" s="89"/>
      <c r="AF524" s="89"/>
      <c r="AG524" s="89"/>
      <c r="AH524" s="89"/>
      <c r="AI524" s="89"/>
      <c r="AJ524" s="89"/>
      <c r="AK524" s="89"/>
      <c r="AL524" s="89"/>
      <c r="AM524" s="89"/>
      <c r="AN524" s="89"/>
      <c r="AO524" s="89"/>
      <c r="AP524" s="89"/>
      <c r="AQ524" s="89"/>
      <c r="AR524" s="337">
        <f t="shared" si="27"/>
        <v>0</v>
      </c>
      <c r="AS524" s="192">
        <f t="shared" si="24"/>
        <v>0</v>
      </c>
      <c r="AT524" s="337">
        <f t="shared" si="25"/>
        <v>0</v>
      </c>
    </row>
    <row r="525" spans="2:46" ht="14.65" hidden="1" customHeight="1" outlineLevel="1">
      <c r="B525" s="437">
        <f t="shared" si="26"/>
        <v>79</v>
      </c>
      <c r="C525" s="255" t="s">
        <v>461</v>
      </c>
      <c r="D525" s="494"/>
      <c r="E525" s="494"/>
      <c r="F525" s="89"/>
      <c r="G525" s="89"/>
      <c r="H525" s="89"/>
      <c r="I525" s="89"/>
      <c r="J525" s="89"/>
      <c r="K525" s="89"/>
      <c r="L525" s="89"/>
      <c r="M525" s="89"/>
      <c r="N525" s="89"/>
      <c r="O525" s="89"/>
      <c r="P525" s="89"/>
      <c r="Q525" s="89"/>
      <c r="R525" s="89"/>
      <c r="S525" s="89"/>
      <c r="T525" s="89"/>
      <c r="U525" s="89"/>
      <c r="V525" s="89"/>
      <c r="W525" s="89"/>
      <c r="X525" s="494"/>
      <c r="Y525" s="494"/>
      <c r="Z525" s="89"/>
      <c r="AA525" s="89"/>
      <c r="AB525" s="89"/>
      <c r="AC525" s="89"/>
      <c r="AD525" s="89"/>
      <c r="AE525" s="89"/>
      <c r="AF525" s="89"/>
      <c r="AG525" s="89"/>
      <c r="AH525" s="89"/>
      <c r="AI525" s="89"/>
      <c r="AJ525" s="89"/>
      <c r="AK525" s="89"/>
      <c r="AL525" s="89"/>
      <c r="AM525" s="89"/>
      <c r="AN525" s="89"/>
      <c r="AO525" s="89"/>
      <c r="AP525" s="89"/>
      <c r="AQ525" s="89"/>
      <c r="AR525" s="337">
        <f t="shared" si="27"/>
        <v>0</v>
      </c>
      <c r="AS525" s="192">
        <f t="shared" si="24"/>
        <v>0</v>
      </c>
      <c r="AT525" s="337">
        <f t="shared" si="25"/>
        <v>0</v>
      </c>
    </row>
    <row r="526" spans="2:46" ht="12.4" customHeight="1" collapsed="1">
      <c r="B526" s="437">
        <f t="shared" si="26"/>
        <v>80</v>
      </c>
      <c r="C526" s="255" t="s">
        <v>461</v>
      </c>
      <c r="D526" s="494"/>
      <c r="E526" s="494"/>
      <c r="F526" s="494"/>
      <c r="G526" s="89"/>
      <c r="H526" s="89"/>
      <c r="I526" s="89"/>
      <c r="J526" s="89"/>
      <c r="K526" s="89"/>
      <c r="L526" s="89"/>
      <c r="M526" s="89"/>
      <c r="N526" s="89"/>
      <c r="O526" s="89"/>
      <c r="P526" s="89"/>
      <c r="Q526" s="89"/>
      <c r="R526" s="89"/>
      <c r="S526" s="89"/>
      <c r="T526" s="89"/>
      <c r="U526" s="89"/>
      <c r="V526" s="89"/>
      <c r="W526" s="89"/>
      <c r="X526" s="494"/>
      <c r="Y526" s="494"/>
      <c r="Z526" s="89"/>
      <c r="AA526" s="89"/>
      <c r="AB526" s="89"/>
      <c r="AC526" s="89"/>
      <c r="AD526" s="89"/>
      <c r="AE526" s="89"/>
      <c r="AF526" s="89"/>
      <c r="AG526" s="89"/>
      <c r="AH526" s="89"/>
      <c r="AI526" s="89"/>
      <c r="AJ526" s="89"/>
      <c r="AK526" s="89"/>
      <c r="AL526" s="89"/>
      <c r="AM526" s="89"/>
      <c r="AN526" s="89"/>
      <c r="AO526" s="89"/>
      <c r="AP526" s="89"/>
      <c r="AQ526" s="89"/>
      <c r="AR526" s="337">
        <f t="shared" si="27"/>
        <v>0</v>
      </c>
      <c r="AS526" s="192">
        <f t="shared" si="24"/>
        <v>0</v>
      </c>
      <c r="AT526" s="337">
        <f t="shared" si="25"/>
        <v>0</v>
      </c>
    </row>
    <row r="527" spans="2:46" ht="12">
      <c r="B527" s="251"/>
      <c r="C527" s="488"/>
    </row>
    <row r="528" spans="2:46" ht="12">
      <c r="B528" s="251"/>
      <c r="C528" s="251" t="s">
        <v>998</v>
      </c>
    </row>
    <row r="529" spans="1:46" ht="12">
      <c r="B529" s="251"/>
      <c r="C529" s="488"/>
    </row>
    <row r="530" spans="1:46" ht="12"/>
    <row r="531" spans="1:46" s="569" customFormat="1" ht="15.75">
      <c r="A531" s="575" t="s">
        <v>366</v>
      </c>
      <c r="B531" s="575" t="s">
        <v>300</v>
      </c>
      <c r="C531" s="575"/>
      <c r="D531" s="576"/>
      <c r="E531" s="576"/>
      <c r="F531" s="576"/>
      <c r="G531" s="576"/>
      <c r="H531" s="576"/>
      <c r="I531" s="576"/>
      <c r="J531" s="576"/>
      <c r="K531" s="576"/>
      <c r="L531" s="576"/>
      <c r="M531" s="576"/>
      <c r="N531" s="576"/>
      <c r="O531" s="576"/>
      <c r="P531" s="576"/>
      <c r="Q531" s="576"/>
      <c r="R531" s="576"/>
      <c r="S531" s="576"/>
      <c r="T531" s="576"/>
      <c r="U531" s="576"/>
      <c r="V531" s="576"/>
      <c r="W531" s="576"/>
      <c r="X531" s="576"/>
      <c r="Y531" s="576"/>
      <c r="Z531" s="576"/>
      <c r="AA531" s="576"/>
      <c r="AB531" s="576"/>
      <c r="AC531" s="576"/>
      <c r="AD531" s="576"/>
      <c r="AE531" s="576"/>
      <c r="AF531" s="576"/>
      <c r="AG531" s="576"/>
      <c r="AH531" s="576"/>
      <c r="AI531" s="576"/>
      <c r="AJ531" s="576"/>
      <c r="AK531" s="576"/>
      <c r="AL531" s="576"/>
      <c r="AM531" s="576"/>
      <c r="AN531" s="576"/>
      <c r="AO531" s="576"/>
      <c r="AP531" s="576"/>
      <c r="AQ531" s="576"/>
      <c r="AR531" s="576"/>
      <c r="AS531" s="576"/>
      <c r="AT531" s="576"/>
    </row>
  </sheetData>
  <mergeCells count="27">
    <mergeCell ref="AR445:AT445"/>
    <mergeCell ref="F445:I445"/>
    <mergeCell ref="J445:K445"/>
    <mergeCell ref="N445:U445"/>
    <mergeCell ref="Z445:AC445"/>
    <mergeCell ref="AD445:AE445"/>
    <mergeCell ref="AH445:AO445"/>
    <mergeCell ref="F278:I278"/>
    <mergeCell ref="J278:K278"/>
    <mergeCell ref="N278:U278"/>
    <mergeCell ref="X278:Z278"/>
    <mergeCell ref="F358:I358"/>
    <mergeCell ref="J358:K358"/>
    <mergeCell ref="N358:U358"/>
    <mergeCell ref="X358:Z358"/>
    <mergeCell ref="AH186:AO186"/>
    <mergeCell ref="F20:I20"/>
    <mergeCell ref="J20:K20"/>
    <mergeCell ref="N20:U20"/>
    <mergeCell ref="F99:I99"/>
    <mergeCell ref="J99:K99"/>
    <mergeCell ref="N99:U99"/>
    <mergeCell ref="F186:I186"/>
    <mergeCell ref="J186:K186"/>
    <mergeCell ref="N186:U186"/>
    <mergeCell ref="Z186:AC186"/>
    <mergeCell ref="AD186:AE186"/>
  </mergeCell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drawing r:id="rId2"/>
  <legacyDrawing r:id="rId3"/>
</worksheet>
</file>

<file path=docMetadata/LabelInfo.xml><?xml version="1.0" encoding="utf-8"?>
<clbl:labelList xmlns:clbl="http://schemas.microsoft.com/office/2020/mipLabelMetadata">
  <clbl:label id="{7f4d25dc-0cb0-4908-89bf-16102a1937e6}" enabled="0" method="" siteId="{7f4d25dc-0cb0-4908-89bf-16102a1937e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90</vt:i4>
      </vt:variant>
    </vt:vector>
  </HeadingPairs>
  <TitlesOfParts>
    <vt:vector size="104" baseType="lpstr">
      <vt:lpstr>C</vt:lpstr>
      <vt:lpstr>V</vt:lpstr>
      <vt:lpstr>S</vt:lpstr>
      <vt:lpstr>Listas</vt:lpstr>
      <vt:lpstr>Control</vt:lpstr>
      <vt:lpstr>Mercado</vt:lpstr>
      <vt:lpstr>Cálculos auxiliares</vt:lpstr>
      <vt:lpstr>Cálculos principales</vt:lpstr>
      <vt:lpstr>Calculos Renta de Linea y Voz</vt:lpstr>
      <vt:lpstr>Calculos Banda Ancha</vt:lpstr>
      <vt:lpstr>Tarifas SRL</vt:lpstr>
      <vt:lpstr>Datos AEP--&gt;</vt:lpstr>
      <vt:lpstr>Planes y paquetes</vt:lpstr>
      <vt:lpstr>Precios</vt:lpstr>
      <vt:lpstr>Admin.costs</vt:lpstr>
      <vt:lpstr>Admin.staff.per.customer.care.staff</vt:lpstr>
      <vt:lpstr>AEP.broadband.distribution.by.plan</vt:lpstr>
      <vt:lpstr>AEP.broadband.subs.by.plan</vt:lpstr>
      <vt:lpstr>AEP.broadband.subs.non.residential</vt:lpstr>
      <vt:lpstr>AEP.broadband.subs.residential</vt:lpstr>
      <vt:lpstr>AEP.broadband.subs.residential.with.line.rental</vt:lpstr>
      <vt:lpstr>AEP.broadband.subs.residential.without.line.rental</vt:lpstr>
      <vt:lpstr>AEP.telephone.lines</vt:lpstr>
      <vt:lpstr>AEP.telephone.lines.voice.only</vt:lpstr>
      <vt:lpstr>AEP.telephone.lines.voice.only.noresidential</vt:lpstr>
      <vt:lpstr>AEP.telephone.lines.voice.only.residential</vt:lpstr>
      <vt:lpstr>AEP.telephony.distribution.by.plan</vt:lpstr>
      <vt:lpstr>AEP.telephony.subs.by.plan</vt:lpstr>
      <vt:lpstr>'C'!Área_de_impresión</vt:lpstr>
      <vt:lpstr>V!Área_de_impresión</vt:lpstr>
      <vt:lpstr>Bad.debt.cost</vt:lpstr>
      <vt:lpstr>Billing.cost</vt:lpstr>
      <vt:lpstr>Broadbad.suscriptions.AEP</vt:lpstr>
      <vt:lpstr>Broadbad.suscriptions.market</vt:lpstr>
      <vt:lpstr>Broadband.gross.adds.non.residential</vt:lpstr>
      <vt:lpstr>Broadband.gross.adds.residential.with.line.rental</vt:lpstr>
      <vt:lpstr>clarovideo.rental.without.taxes</vt:lpstr>
      <vt:lpstr>Customer.care.broadbandsubscriber.per.staff</vt:lpstr>
      <vt:lpstr>Customer.care.line.rental.per.staff</vt:lpstr>
      <vt:lpstr>equipo.terminal.parameter</vt:lpstr>
      <vt:lpstr>factor.Mbps.to.Kbps</vt:lpstr>
      <vt:lpstr>Floorspace.per.staff</vt:lpstr>
      <vt:lpstr>Line.rental.churn</vt:lpstr>
      <vt:lpstr>local.loop.cooper</vt:lpstr>
      <vt:lpstr>local.loop.FTTC</vt:lpstr>
      <vt:lpstr>local.loop.optical.fiber</vt:lpstr>
      <vt:lpstr>Marketing.and.sales.minimum.proportion.broadband</vt:lpstr>
      <vt:lpstr>Marketing.and.sales.minimum.proportion.line.rental</vt:lpstr>
      <vt:lpstr>Marketing.and.sales.per.gross.add.broadband</vt:lpstr>
      <vt:lpstr>Marketing.and.sales.per.gross.add.line.rental</vt:lpstr>
      <vt:lpstr>modalidad</vt:lpstr>
      <vt:lpstr>Monthly.cost.per.staff</vt:lpstr>
      <vt:lpstr>Rent.per.sqm</vt:lpstr>
      <vt:lpstr>Retail.minus.additional.calls</vt:lpstr>
      <vt:lpstr>Retail.minus.additional.calls.retail.minus.items.only</vt:lpstr>
      <vt:lpstr>Retail.minus.bitstream.retail.minus.items.only</vt:lpstr>
      <vt:lpstr>Retail.minus.int</vt:lpstr>
      <vt:lpstr>Retail.minus.int.retail.minus.items.only</vt:lpstr>
      <vt:lpstr>Retail.minus.line.rental</vt:lpstr>
      <vt:lpstr>Retail.minus.line.rental.retail.minus.items.only</vt:lpstr>
      <vt:lpstr>Retail.profit</vt:lpstr>
      <vt:lpstr>servicio</vt:lpstr>
      <vt:lpstr>suscriptores2020</vt:lpstr>
      <vt:lpstr>suscriptores2021</vt:lpstr>
      <vt:lpstr>suscriptores2023</vt:lpstr>
      <vt:lpstr>suscriptores2024</vt:lpstr>
      <vt:lpstr>unit.cost.digital.service.1</vt:lpstr>
      <vt:lpstr>unit.cost.digital.service.3</vt:lpstr>
      <vt:lpstr>unit.cost.digital.service.4</vt:lpstr>
      <vt:lpstr>unit.cost.digital.service.5</vt:lpstr>
      <vt:lpstr>vector.broadband.plans.names</vt:lpstr>
      <vt:lpstr>vector.broadband.plans.singleplay.names</vt:lpstr>
      <vt:lpstr>vector.distribution.users.broadband</vt:lpstr>
      <vt:lpstr>vector.implicit.prices.broadband.after.discount</vt:lpstr>
      <vt:lpstr>vector.implicit.prices.broadband.before.discount</vt:lpstr>
      <vt:lpstr>vector.implicit.prices.digitalservices.after.discount</vt:lpstr>
      <vt:lpstr>vector.implicit.prices.digitalservices.before.discount</vt:lpstr>
      <vt:lpstr>vector.implicit.prices.line.rental.after.discount</vt:lpstr>
      <vt:lpstr>vector.implicit.prices.line.rental.before.discount</vt:lpstr>
      <vt:lpstr>vector.implicit.prices.voice.after.discount</vt:lpstr>
      <vt:lpstr>vector.implicit.prices.voice.before.discount</vt:lpstr>
      <vt:lpstr>vector.lines.publicited</vt:lpstr>
      <vt:lpstr>vector.num</vt:lpstr>
      <vt:lpstr>vector.periodicity</vt:lpstr>
      <vt:lpstr>vector.plans.available</vt:lpstr>
      <vt:lpstr>vector.plans.names</vt:lpstr>
      <vt:lpstr>vector.plans.with.line.rental.noresidential</vt:lpstr>
      <vt:lpstr>vector.plans.with.line.rental.residential</vt:lpstr>
      <vt:lpstr>vector.telephony.plans.names</vt:lpstr>
      <vt:lpstr>vector.telephony.plans.singleplay.names</vt:lpstr>
      <vt:lpstr>vector.users.broadband</vt:lpstr>
      <vt:lpstr>vector.users.distribution.telephone</vt:lpstr>
      <vt:lpstr>vector.users.telephone</vt:lpstr>
      <vt:lpstr>weighted.average.local.loop.by.plan</vt:lpstr>
      <vt:lpstr>weighted.average.local.loop.by.plan.by.tx.media</vt:lpstr>
      <vt:lpstr>Workbook.Author</vt:lpstr>
      <vt:lpstr>Workbook.Authors_Email_Address</vt:lpstr>
      <vt:lpstr>Workbook.Objective</vt:lpstr>
      <vt:lpstr>Workbook.Status</vt:lpstr>
      <vt:lpstr>Workbook.Title</vt:lpstr>
      <vt:lpstr>Workbook.Version</vt:lpstr>
      <vt:lpstr>Year.selected</vt:lpstr>
      <vt:lpstr>Years</vt:lpstr>
      <vt:lpstr>years.client.retention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Angel Ortega Garcia</dc:creator>
  <cp:lastModifiedBy>Cesar Martinez Anell</cp:lastModifiedBy>
  <dcterms:created xsi:type="dcterms:W3CDTF">2024-12-03T16:28:45Z</dcterms:created>
  <dcterms:modified xsi:type="dcterms:W3CDTF">2024-12-06T18:14:45Z</dcterms:modified>
</cp:coreProperties>
</file>